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4845" tabRatio="820" firstSheet="1" activeTab="1"/>
  </bookViews>
  <sheets>
    <sheet name="Sheet4" sheetId="1" state="hidden" r:id="rId1"/>
    <sheet name="uep_res" sheetId="2" r:id="rId2"/>
    <sheet name="uep_res_21&amp;22" sheetId="3" r:id="rId3"/>
    <sheet name="reserve ratio" sheetId="4" r:id="rId4"/>
    <sheet name="aoe_2022" sheetId="5" r:id="rId5"/>
    <sheet name="aoe_2021" sheetId="6" r:id="rId6"/>
    <sheet name="reserve ratio 22 vs 21" sheetId="7" r:id="rId7"/>
    <sheet name="uep_ls_res" sheetId="8" r:id="rId8"/>
    <sheet name="aoe_2005(alllines)" sheetId="9" state="hidden" r:id="rId9"/>
    <sheet name="Tbl_2004" sheetId="10" state="hidden" r:id="rId10"/>
    <sheet name="Tbl_2004LossRSVratios (2)" sheetId="11" state="hidden" r:id="rId11"/>
    <sheet name="Tbl_2004LossRSVratios" sheetId="12" state="hidden" r:id="rId1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comments2.xml><?xml version="1.0" encoding="utf-8"?>
<comments xmlns="http://schemas.openxmlformats.org/spreadsheetml/2006/main">
  <authors>
    <author>Department of Insurance</author>
    <author>Ho, Fion</author>
  </authors>
  <commentList>
    <comment ref="I21" authorId="0">
      <text>
        <r>
          <rPr>
            <b/>
            <sz val="8"/>
            <rFont val="Tahoma"/>
            <family val="2"/>
          </rPr>
          <t xml:space="preserve">Col 4
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Col 3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Col 2</t>
        </r>
        <r>
          <rPr>
            <sz val="8"/>
            <rFont val="Tahoma"/>
            <family val="2"/>
          </rPr>
          <t xml:space="preserve">
</t>
        </r>
      </text>
    </comment>
    <comment ref="K22" authorId="1">
      <text>
        <r>
          <rPr>
            <b/>
            <sz val="9"/>
            <rFont val="Tahoma"/>
            <family val="0"/>
          </rPr>
          <t>Ho, Fion:</t>
        </r>
        <r>
          <rPr>
            <sz val="9"/>
            <rFont val="Tahoma"/>
            <family val="0"/>
          </rPr>
          <t xml:space="preserve">
updated with 2022 Pg6 under inst Pt1 Col2 prior year unearned premium</t>
        </r>
      </text>
    </comment>
  </commentList>
</comments>
</file>

<file path=xl/sharedStrings.xml><?xml version="1.0" encoding="utf-8"?>
<sst xmlns="http://schemas.openxmlformats.org/spreadsheetml/2006/main" count="1045" uniqueCount="260">
  <si>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</si>
  <si>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</si>
  <si>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</si>
  <si>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</si>
  <si>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</si>
  <si>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</si>
  <si>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</si>
  <si>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</si>
  <si>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</si>
  <si>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</si>
  <si>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</si>
  <si>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</si>
  <si>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</si>
  <si>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</si>
  <si>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</si>
  <si>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</si>
  <si>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</si>
  <si>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</si>
  <si>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</si>
  <si>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</si>
  <si>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</si>
  <si>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</si>
  <si>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</si>
  <si>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</si>
  <si>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</si>
  <si>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</si>
  <si>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</si>
  <si>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</si>
  <si>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</si>
  <si>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</si>
  <si>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</si>
  <si>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</si>
  <si>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</si>
  <si>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</si>
  <si>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</si>
  <si>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</si>
  <si>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</si>
  <si>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</si>
  <si>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</si>
  <si>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</si>
  <si>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</si>
  <si>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</si>
  <si>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</si>
  <si>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</si>
  <si>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</si>
  <si>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</si>
  <si>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</si>
  <si>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</si>
  <si>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</si>
  <si>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</si>
  <si>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</si>
  <si>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</si>
  <si>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</si>
  <si>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</si>
  <si>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</si>
  <si>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</si>
  <si>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</si>
  <si>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</si>
  <si>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</si>
  <si>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</si>
  <si>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</si>
  <si>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</si>
  <si>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</si>
  <si>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</si>
  <si>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</si>
  <si>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</si>
  <si>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</si>
  <si>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</si>
  <si>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</si>
  <si>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</si>
  <si>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</si>
  <si>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</si>
  <si>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</si>
  <si>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</si>
  <si>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</si>
  <si>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</si>
  <si>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</si>
  <si>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</si>
  <si>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</si>
  <si>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</si>
  <si>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</si>
  <si>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</si>
  <si>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</si>
  <si>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</si>
  <si>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</si>
  <si>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</si>
  <si>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</si>
  <si>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</si>
  <si>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</si>
  <si>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</si>
  <si>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</si>
  <si>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</si>
  <si>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</si>
  <si>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</si>
  <si>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</si>
  <si>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</si>
  <si>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</si>
  <si>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</si>
  <si>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</si>
  <si>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</si>
  <si>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</si>
  <si>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</si>
  <si>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</si>
  <si>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</si>
  <si>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</si>
  <si>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</si>
  <si>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</si>
  <si>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</si>
  <si>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</si>
  <si>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</si>
  <si>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</si>
  <si>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</si>
  <si>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</si>
  <si>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</si>
  <si>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</si>
  <si>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</si>
  <si>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</si>
  <si>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</si>
  <si>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</si>
  <si>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</si>
  <si>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</si>
  <si>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</si>
  <si>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</si>
  <si>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</si>
  <si>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</si>
  <si>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</si>
  <si>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</si>
  <si>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</si>
  <si>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</si>
  <si>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</si>
  <si>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</si>
  <si>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</si>
  <si>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</si>
  <si>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</si>
  <si>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</si>
  <si>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11.1</t>
  </si>
  <si>
    <t>11.2</t>
  </si>
  <si>
    <t>17.1</t>
  </si>
  <si>
    <t>18.1</t>
  </si>
  <si>
    <t>18.2</t>
  </si>
  <si>
    <t>Loss Reserve Ratio</t>
  </si>
  <si>
    <t>CMP</t>
  </si>
  <si>
    <t>05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</si>
  <si>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</si>
  <si>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</si>
  <si>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</si>
  <si>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</si>
  <si>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0.5(A/B)</t>
  </si>
  <si>
    <t>sum [4] thru [9]</t>
  </si>
  <si>
    <t>[11]</t>
  </si>
  <si>
    <t>[A] = sum[4] thru [9]</t>
  </si>
  <si>
    <t>Only for the TOTAL row</t>
  </si>
  <si>
    <t>[11] = [10]*[3]</t>
  </si>
  <si>
    <t>(Loss Reserve Ratio) * (TL IL &amp; DCCE)</t>
  </si>
  <si>
    <t>PPA LIAB &amp; PD</t>
  </si>
  <si>
    <t>COMLA LIAB &amp; PD</t>
  </si>
  <si>
    <t>WARRANTY</t>
  </si>
  <si>
    <t>30</t>
  </si>
  <si>
    <t>MED PROF LIAB</t>
  </si>
  <si>
    <t>17.2</t>
  </si>
  <si>
    <t>Notes:</t>
  </si>
  <si>
    <t>*</t>
  </si>
  <si>
    <t>**</t>
  </si>
  <si>
    <t>BRGLRY THEFT **</t>
  </si>
  <si>
    <t>EARTHQUAKE *</t>
  </si>
  <si>
    <t xml:space="preserve">   MED PROF LIAB (OCC)</t>
  </si>
  <si>
    <t xml:space="preserve">   OTHER LIAB (OCC)</t>
  </si>
  <si>
    <t xml:space="preserve">   OTHER LIAB (CM)</t>
  </si>
  <si>
    <t xml:space="preserve">   PROD LIAB (OCC)</t>
  </si>
  <si>
    <t xml:space="preserve">   PROD LIAB (CM)</t>
  </si>
  <si>
    <t xml:space="preserve">   CMP (N-LIAB)</t>
  </si>
  <si>
    <t xml:space="preserve">   CMP (LIAB)</t>
  </si>
  <si>
    <t xml:space="preserve">   MED PROF LIAB (CM)</t>
  </si>
  <si>
    <t>Comparison of</t>
  </si>
  <si>
    <t>[3] = [2] - [1]</t>
  </si>
  <si>
    <t>19.2 &amp; 21.1</t>
  </si>
  <si>
    <t>19.4 &amp; 21.2</t>
  </si>
  <si>
    <t>The Loss Reserve Ratio for Burglary and Theft is the dollar-weighted average of the Loss Reserve Ratios for Fire, Allied Lines and Inland Marine.</t>
  </si>
  <si>
    <t>02.2</t>
  </si>
  <si>
    <t>02.3</t>
  </si>
  <si>
    <t>02.4</t>
  </si>
  <si>
    <t>PRIVATE CROP</t>
  </si>
  <si>
    <t>EXCESS WC</t>
  </si>
  <si>
    <t>CML A NO-FLT</t>
  </si>
  <si>
    <t>TOTALS</t>
  </si>
  <si>
    <t>02.5</t>
  </si>
  <si>
    <t>PRIVATE FLOOD</t>
  </si>
  <si>
    <t>hide</t>
  </si>
  <si>
    <t>Sum of 2016 (CA Loss Unpaid, CA DCCE Unpaid, Alloc CA AOE Unpaid) and 2015 (CA Loss Unpaid, CA DCCE Unpaid, Alloc CA AOE Unpaid)</t>
  </si>
  <si>
    <t>[B] = [3]</t>
  </si>
  <si>
    <t>% change</t>
  </si>
  <si>
    <t>*       The Loss Reserve Ratio for Earthquake = 1.00.</t>
  </si>
  <si>
    <t xml:space="preserve">         for Fire, Allied Lines and Inland Marine.</t>
  </si>
  <si>
    <t>[9a]</t>
  </si>
  <si>
    <t>[9b]</t>
  </si>
  <si>
    <t>The Loss Reserve Ratio in the Total row is:  Sum of [11] divided by sum of [3]</t>
  </si>
  <si>
    <t>[10] = 0.5([4]+[5]+[6]+[7]+[8]+[9])/[3]</t>
  </si>
  <si>
    <t>INT'L</t>
  </si>
  <si>
    <t>p9_pt2_7</t>
  </si>
  <si>
    <t>[9a]/2</t>
  </si>
  <si>
    <t>TOTAL - Loss Reserve Ratios are before adjustment.</t>
  </si>
  <si>
    <t>**     The Loss Reserve Ratio for Burglary and Theft is the dollar-weighted average of the Loss Reserve Ratios</t>
  </si>
  <si>
    <t>2021 vs 2020</t>
  </si>
  <si>
    <t>The Loss Reserve Ratio for Earthquake = 1.00.</t>
  </si>
  <si>
    <t>2022 Allocation of AOE Reserves to California</t>
  </si>
  <si>
    <t>2021 Allocation of AOE Reserves to California</t>
  </si>
  <si>
    <t>2022 California Loss Reserve Ratio</t>
  </si>
  <si>
    <t>***</t>
  </si>
  <si>
    <t>2022 SUMMARY OF BY-LINE UNEARNED PREMIUM RESERVE RATIO</t>
  </si>
  <si>
    <t>Two-Year Average Unearned Premium to Earned Premium</t>
  </si>
  <si>
    <t>2022 CA Direct</t>
  </si>
  <si>
    <t>2022 CA UEP</t>
  </si>
  <si>
    <t>2021 CA UEP</t>
  </si>
  <si>
    <t>2-Year Average</t>
  </si>
  <si>
    <t>UEP RSV</t>
  </si>
  <si>
    <t>Line #</t>
  </si>
  <si>
    <t>Earned Premium</t>
  </si>
  <si>
    <t>Reserves</t>
  </si>
  <si>
    <t>calculated</t>
  </si>
  <si>
    <t>display</t>
  </si>
  <si>
    <t>from AM Best's - Total US PC Industry</t>
  </si>
  <si>
    <t>2021 EP</t>
  </si>
  <si>
    <t>2021 UEP</t>
  </si>
  <si>
    <t>2020 UEP</t>
  </si>
  <si>
    <t>2022 EP</t>
  </si>
  <si>
    <t>2022 UEP</t>
  </si>
  <si>
    <t xml:space="preserve">  MED PROF LIAB (OCC)</t>
  </si>
  <si>
    <t xml:space="preserve">  MED PROF LIAB (CM)</t>
  </si>
  <si>
    <t>MEDICARE T18</t>
  </si>
  <si>
    <t>WORKERS' COMP</t>
  </si>
  <si>
    <t xml:space="preserve">  OTHER LIAB (OCC)</t>
  </si>
  <si>
    <t xml:space="preserve">  OTHER LIAB (CM)</t>
  </si>
  <si>
    <t xml:space="preserve">  PROD LIAB (OCC)</t>
  </si>
  <si>
    <t xml:space="preserve">  PROD LIAB (CM)</t>
  </si>
  <si>
    <t>CMLA NO-FLT</t>
  </si>
  <si>
    <t>Data source:</t>
  </si>
  <si>
    <t>[1]  Annual Stm - All Insurers</t>
  </si>
  <si>
    <t>[2]  AM Best's Aggregates &amp; Averages - P&amp;C</t>
  </si>
  <si>
    <t xml:space="preserve">       Underwriting &amp; Investment Exhibit</t>
  </si>
  <si>
    <t xml:space="preserve">       Part 1 - Premiums Earned</t>
  </si>
  <si>
    <t>TOTAL PROP 103</t>
  </si>
  <si>
    <t>2022 vs 2021 UNEARNED PREMIUM RESERVE RATIO BY LINE</t>
  </si>
  <si>
    <t>2021 UEP RSV</t>
  </si>
  <si>
    <t>2022 UEP RSV</t>
  </si>
  <si>
    <t>Comparison of
 2022 vs 2021</t>
  </si>
  <si>
    <t>[ 1 ]</t>
  </si>
  <si>
    <t>[ 2 ]</t>
  </si>
  <si>
    <t>[ 3 ] = [ 2 ] - [ 1 ]</t>
  </si>
  <si>
    <t>2022 SUMMARY BY-LINE</t>
  </si>
  <si>
    <t>Unearned Premium Reserve Ratio and Loss Reserve Ratio</t>
  </si>
  <si>
    <t>Loss Reserve</t>
  </si>
  <si>
    <t>Reserve Ratio</t>
  </si>
  <si>
    <t xml:space="preserve">  CMP (N-LIAB)</t>
  </si>
  <si>
    <t xml:space="preserve">  CMP (LIAB)</t>
  </si>
  <si>
    <t>*            The Loss Reserve Ratio for Earthquake = 1.00.</t>
  </si>
  <si>
    <t>**          The Loss Reserve Ratio for Burglary and Theft is the dollar-weighted average of the Loss Reserve Ratios</t>
  </si>
  <si>
    <t xml:space="preserve">              for Fire, Allied Lines and Inland Marine.</t>
  </si>
  <si>
    <t xml:space="preserve">* In 2022 Annual Statement, Line 11.1, 11.2, 18.1, and 18.2 are reported separately, thus no allocation with countrywide number on occurrence and claim-made are utilized this year. 2022 CA EP, UEP, Loss Unpaid and DCCE unpaid are actual CA number.  </t>
  </si>
  <si>
    <t xml:space="preserve">* In 2022 Annual Statement, Line 11.1, 11.2, 18.1, and 18.2 are reported separately, thus no allocation with countrywide number on occurrence and claim-made are utilized this year. 2022 CA EP, UEP, Loss Unpaid and DCCE unpaid are actual CA number.   </t>
  </si>
  <si>
    <t xml:space="preserve"> In 2022 Annual Statement, Line 11.1, 11.2, 18.1, and 18.2 are reported separately, thus no allocation with countrywide number on occurrence and claim-made are utilized this year. 2022 CA EP, UEP, Loss Unpaid and DCCE unpaid are actual CA number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</si>
</sst>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  <numFmt numFmtId="174" formatCode="0.000"/>
    <numFmt numFmtId="175" formatCode="0."/>
    <numFmt numFmtId="176" formatCode="[$-409]dddd\,\ mmmm\ dd\,\ yyyy"/>
    <numFmt numFmtId="177" formatCode="000"/>
    <numFmt numFmtId="178" formatCode="\1\4\2\3\8\9\3"/>
    <numFmt numFmtId="179" formatCode="0.0"/>
    <numFmt numFmtId="180" formatCode="[$-409]h:mm:ss\ AM/PM"/>
    <numFmt numFmtId="181" formatCode="#,#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-0"/>
    <numFmt numFmtId="187" formatCode="\20.000\1"/>
    <numFmt numFmtId="188" formatCode="0.000\1"/>
    <numFmt numFmtId="189" formatCode="0.000\3"/>
    <numFmt numFmtId="190" formatCode="0.0000"/>
    <numFmt numFmtId="191" formatCode="0.\9\9\9\6"/>
    <numFmt numFmtId="192" formatCode="\20.\9\9\9\6"/>
    <numFmt numFmtId="193" formatCode="\20.000\3"/>
    <numFmt numFmtId="194" formatCode="0000"/>
    <numFmt numFmtId="195" formatCode="0000."/>
    <numFmt numFmtId="196" formatCode="00.00"/>
    <numFmt numFmtId="197" formatCode="00000"/>
    <numFmt numFmtId="198" formatCode="#,##0.00;[Red]#,##0.00"/>
    <numFmt numFmtId="199" formatCode="&quot;$&quot;#,##0.00;[Red]&quot;$&quot;#,##0.00"/>
    <numFmt numFmtId="200" formatCode="#,##0;[Red]#,##0"/>
    <numFmt numFmtId="201" formatCode="0;[Red]0"/>
    <numFmt numFmtId="202" formatCode="#,##0.000"/>
    <numFmt numFmtId="203" formatCode="&quot;[&quot;0&quot;]&quot;"/>
    <numFmt numFmtId="204" formatCode="?0.0"/>
    <numFmt numFmtId="205" formatCode="?0.?"/>
    <numFmt numFmtId="206" formatCode="??,???,???,??0"/>
    <numFmt numFmtId="207" formatCode="??0.?"/>
    <numFmt numFmtId="208" formatCode="&quot;[&quot;\ &quot;]&quot;"/>
    <numFmt numFmtId="209" formatCode="0.000000000000000"/>
    <numFmt numFmtId="210" formatCode="00.0"/>
    <numFmt numFmtId="211" formatCode="00."/>
    <numFmt numFmtId="212" formatCode="000,000,000"/>
    <numFmt numFmtId="213" formatCode="0.0000_);[Red]\(0.0000\)"/>
    <numFmt numFmtId="214" formatCode="#,##0;\-#,##0"/>
    <numFmt numFmtId="215" formatCode="0.00000000"/>
    <numFmt numFmtId="216" formatCode="0.0000000"/>
    <numFmt numFmtId="217" formatCode="0.000000"/>
    <numFmt numFmtId="218" formatCode="0.00000"/>
    <numFmt numFmtId="219" formatCode="*.\ #,##0_);*.\ \(#,##0\);*.#;@\ *."/>
    <numFmt numFmtId="220" formatCode="000000"/>
    <numFmt numFmtId="221" formatCode="@*."/>
    <numFmt numFmtId="222" formatCode="#,###;\-#,###;0"/>
    <numFmt numFmtId="223" formatCode="#,##0.0;\-#,##0.0;\-"/>
    <numFmt numFmtId="224" formatCode="#,##0.00;\-#,##0.00;\-"/>
  </numFmts>
  <fonts count="9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1"/>
    </font>
    <font>
      <b/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8"/>
      <color indexed="6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i/>
      <sz val="8"/>
      <color indexed="61"/>
      <name val="Tahoma"/>
      <family val="2"/>
    </font>
    <font>
      <i/>
      <sz val="8"/>
      <name val="Tahoma"/>
      <family val="2"/>
    </font>
    <font>
      <i/>
      <sz val="10"/>
      <name val="Times New Roman"/>
      <family val="1"/>
    </font>
    <font>
      <b/>
      <sz val="9"/>
      <color indexed="4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4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sz val="11"/>
      <color indexed="8"/>
      <name val="Times New Roman"/>
      <family val="1"/>
    </font>
    <font>
      <b/>
      <sz val="8"/>
      <name val="Tahoma"/>
      <family val="2"/>
    </font>
    <font>
      <sz val="9"/>
      <name val="Tahoma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sz val="9"/>
      <color indexed="30"/>
      <name val="Tahoma"/>
      <family val="2"/>
    </font>
    <font>
      <b/>
      <sz val="10"/>
      <color indexed="30"/>
      <name val="Tahoma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Arial"/>
      <family val="2"/>
    </font>
    <font>
      <b/>
      <sz val="9"/>
      <color rgb="FF0070C0"/>
      <name val="Tahoma"/>
      <family val="2"/>
    </font>
    <font>
      <b/>
      <sz val="10"/>
      <color rgb="FF0070C0"/>
      <name val="Tahoma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5" fillId="0" borderId="0">
      <alignment/>
      <protection locked="0"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55" fillId="0" borderId="0">
      <alignment vertical="top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4" borderId="10" xfId="144" applyFont="1" applyFill="1" applyBorder="1" applyAlignment="1">
      <alignment horizontal="center"/>
      <protection/>
    </xf>
    <xf numFmtId="0" fontId="2" fillId="0" borderId="0" xfId="144">
      <alignment/>
      <protection/>
    </xf>
    <xf numFmtId="0" fontId="2" fillId="0" borderId="7" xfId="144" applyFont="1" applyFill="1" applyBorder="1" applyAlignment="1">
      <alignment wrapText="1"/>
      <protection/>
    </xf>
    <xf numFmtId="0" fontId="2" fillId="0" borderId="7" xfId="144" applyFont="1" applyFill="1" applyBorder="1" applyAlignment="1">
      <alignment horizontal="right" wrapText="1"/>
      <protection/>
    </xf>
    <xf numFmtId="165" fontId="2" fillId="24" borderId="10" xfId="81" applyNumberFormat="1" applyFont="1" applyFill="1" applyBorder="1" applyAlignment="1">
      <alignment horizontal="center"/>
    </xf>
    <xf numFmtId="165" fontId="2" fillId="0" borderId="7" xfId="81" applyNumberFormat="1" applyFont="1" applyFill="1" applyBorder="1" applyAlignment="1">
      <alignment horizontal="right" wrapText="1"/>
    </xf>
    <xf numFmtId="165" fontId="2" fillId="0" borderId="0" xfId="81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81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15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2" fillId="0" borderId="17" xfId="81" applyNumberFormat="1" applyFont="1" applyBorder="1" applyAlignment="1">
      <alignment/>
    </xf>
    <xf numFmtId="43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" fontId="12" fillId="0" borderId="21" xfId="81" applyNumberFormat="1" applyFont="1" applyBorder="1" applyAlignment="1">
      <alignment/>
    </xf>
    <xf numFmtId="3" fontId="12" fillId="0" borderId="21" xfId="94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/>
    </xf>
    <xf numFmtId="3" fontId="12" fillId="0" borderId="15" xfId="81" applyNumberFormat="1" applyFont="1" applyBorder="1" applyAlignment="1">
      <alignment/>
    </xf>
    <xf numFmtId="3" fontId="12" fillId="0" borderId="15" xfId="94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/>
    </xf>
    <xf numFmtId="3" fontId="12" fillId="0" borderId="15" xfId="81" applyNumberFormat="1" applyFont="1" applyFill="1" applyBorder="1" applyAlignment="1">
      <alignment horizontal="right" wrapText="1"/>
    </xf>
    <xf numFmtId="3" fontId="12" fillId="0" borderId="22" xfId="81" applyNumberFormat="1" applyFont="1" applyBorder="1" applyAlignment="1">
      <alignment/>
    </xf>
    <xf numFmtId="3" fontId="12" fillId="0" borderId="22" xfId="94" applyNumberFormat="1" applyFont="1" applyFill="1" applyBorder="1" applyAlignment="1">
      <alignment vertical="center"/>
    </xf>
    <xf numFmtId="3" fontId="12" fillId="0" borderId="22" xfId="0" applyNumberFormat="1" applyFont="1" applyBorder="1" applyAlignment="1">
      <alignment/>
    </xf>
    <xf numFmtId="3" fontId="9" fillId="0" borderId="23" xfId="81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9" fontId="11" fillId="0" borderId="0" xfId="150" applyFont="1" applyBorder="1" applyAlignment="1">
      <alignment horizontal="center"/>
    </xf>
    <xf numFmtId="0" fontId="5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165" fontId="7" fillId="25" borderId="24" xfId="0" applyNumberFormat="1" applyFont="1" applyFill="1" applyBorder="1" applyAlignment="1">
      <alignment/>
    </xf>
    <xf numFmtId="169" fontId="7" fillId="25" borderId="24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26" xfId="0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0" fontId="7" fillId="25" borderId="27" xfId="0" applyFont="1" applyFill="1" applyBorder="1" applyAlignment="1">
      <alignment/>
    </xf>
    <xf numFmtId="0" fontId="6" fillId="25" borderId="28" xfId="0" applyFont="1" applyFill="1" applyBorder="1" applyAlignment="1">
      <alignment/>
    </xf>
    <xf numFmtId="0" fontId="1" fillId="25" borderId="29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9" fontId="10" fillId="0" borderId="0" xfId="150" applyFont="1" applyBorder="1" applyAlignment="1">
      <alignment horizontal="center" wrapText="1"/>
    </xf>
    <xf numFmtId="0" fontId="7" fillId="25" borderId="0" xfId="0" applyFont="1" applyFill="1" applyBorder="1" applyAlignment="1">
      <alignment/>
    </xf>
    <xf numFmtId="0" fontId="0" fillId="0" borderId="0" xfId="0" applyAlignment="1">
      <alignment vertical="center"/>
    </xf>
    <xf numFmtId="203" fontId="18" fillId="0" borderId="30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vertical="center"/>
    </xf>
    <xf numFmtId="203" fontId="18" fillId="0" borderId="11" xfId="0" applyNumberFormat="1" applyFont="1" applyBorder="1" applyAlignment="1">
      <alignment horizontal="center" vertical="center"/>
    </xf>
    <xf numFmtId="203" fontId="18" fillId="0" borderId="13" xfId="0" applyNumberFormat="1" applyFont="1" applyBorder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4" fontId="19" fillId="0" borderId="31" xfId="0" applyNumberFormat="1" applyFont="1" applyBorder="1" applyAlignment="1">
      <alignment vertical="center"/>
    </xf>
    <xf numFmtId="20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4" fontId="18" fillId="0" borderId="32" xfId="0" applyNumberFormat="1" applyFont="1" applyBorder="1" applyAlignment="1">
      <alignment vertical="center"/>
    </xf>
    <xf numFmtId="20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 quotePrefix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 quotePrefix="1">
      <alignment vertical="center"/>
    </xf>
    <xf numFmtId="205" fontId="20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04" fontId="22" fillId="0" borderId="33" xfId="0" applyNumberFormat="1" applyFont="1" applyBorder="1" applyAlignment="1">
      <alignment horizontal="center" vertical="center"/>
    </xf>
    <xf numFmtId="204" fontId="22" fillId="0" borderId="34" xfId="0" applyNumberFormat="1" applyFont="1" applyBorder="1" applyAlignment="1">
      <alignment horizontal="center" vertical="center"/>
    </xf>
    <xf numFmtId="0" fontId="22" fillId="0" borderId="35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204" fontId="0" fillId="0" borderId="0" xfId="0" applyNumberForma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165" fontId="18" fillId="0" borderId="0" xfId="81" applyNumberFormat="1" applyFont="1" applyAlignment="1" quotePrefix="1">
      <alignment/>
    </xf>
    <xf numFmtId="10" fontId="18" fillId="0" borderId="0" xfId="150" applyNumberFormat="1" applyFont="1" applyAlignment="1" quotePrefix="1">
      <alignment/>
    </xf>
    <xf numFmtId="0" fontId="18" fillId="0" borderId="0" xfId="0" applyFont="1" applyFill="1" applyAlignment="1">
      <alignment/>
    </xf>
    <xf numFmtId="165" fontId="18" fillId="25" borderId="0" xfId="81" applyNumberFormat="1" applyFont="1" applyFill="1" applyAlignment="1">
      <alignment/>
    </xf>
    <xf numFmtId="165" fontId="18" fillId="0" borderId="0" xfId="81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81" applyNumberFormat="1" applyFont="1" applyAlignment="1">
      <alignment/>
    </xf>
    <xf numFmtId="165" fontId="24" fillId="0" borderId="0" xfId="81" applyNumberFormat="1" applyFont="1" applyFill="1" applyBorder="1" applyAlignment="1">
      <alignment horizontal="right" wrapText="1"/>
    </xf>
    <xf numFmtId="165" fontId="18" fillId="0" borderId="0" xfId="81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81" applyNumberFormat="1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150" applyNumberFormat="1" applyFont="1" applyAlignment="1">
      <alignment/>
    </xf>
    <xf numFmtId="165" fontId="25" fillId="0" borderId="0" xfId="81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167" fontId="25" fillId="0" borderId="0" xfId="0" applyNumberFormat="1" applyFont="1" applyAlignment="1">
      <alignment horizontal="left"/>
    </xf>
    <xf numFmtId="39" fontId="9" fillId="0" borderId="0" xfId="81" applyNumberFormat="1" applyFont="1" applyFill="1" applyBorder="1" applyAlignment="1">
      <alignment horizontal="center"/>
    </xf>
    <xf numFmtId="165" fontId="18" fillId="0" borderId="11" xfId="81" applyNumberFormat="1" applyFont="1" applyBorder="1" applyAlignment="1" quotePrefix="1">
      <alignment/>
    </xf>
    <xf numFmtId="165" fontId="9" fillId="0" borderId="36" xfId="0" applyNumberFormat="1" applyFont="1" applyBorder="1" applyAlignment="1">
      <alignment horizontal="center" vertical="center"/>
    </xf>
    <xf numFmtId="165" fontId="9" fillId="0" borderId="36" xfId="81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5" xfId="81" applyNumberFormat="1" applyFont="1" applyFill="1" applyBorder="1" applyAlignment="1">
      <alignment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81" applyNumberFormat="1" applyFont="1" applyFill="1" applyBorder="1" applyAlignment="1">
      <alignment/>
    </xf>
    <xf numFmtId="165" fontId="9" fillId="0" borderId="34" xfId="0" applyNumberFormat="1" applyFont="1" applyBorder="1" applyAlignment="1">
      <alignment horizontal="center" vertical="center"/>
    </xf>
    <xf numFmtId="165" fontId="9" fillId="0" borderId="34" xfId="81" applyNumberFormat="1" applyFont="1" applyFill="1" applyBorder="1" applyAlignment="1">
      <alignment/>
    </xf>
    <xf numFmtId="39" fontId="9" fillId="0" borderId="34" xfId="81" applyNumberFormat="1" applyFont="1" applyFill="1" applyBorder="1" applyAlignment="1">
      <alignment horizontal="center"/>
    </xf>
    <xf numFmtId="165" fontId="49" fillId="0" borderId="23" xfId="0" applyNumberFormat="1" applyFont="1" applyBorder="1" applyAlignment="1">
      <alignment horizontal="center" vertical="center"/>
    </xf>
    <xf numFmtId="206" fontId="0" fillId="0" borderId="12" xfId="0" applyNumberFormat="1" applyFont="1" applyBorder="1" applyAlignment="1">
      <alignment horizontal="center" vertical="center"/>
    </xf>
    <xf numFmtId="206" fontId="0" fillId="0" borderId="12" xfId="81" applyNumberFormat="1" applyFont="1" applyFill="1" applyBorder="1" applyAlignment="1">
      <alignment horizontal="center" vertical="center"/>
    </xf>
    <xf numFmtId="20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06" fontId="23" fillId="0" borderId="23" xfId="81" applyNumberFormat="1" applyFont="1" applyFill="1" applyBorder="1" applyAlignment="1">
      <alignment horizontal="center" vertical="center"/>
    </xf>
    <xf numFmtId="206" fontId="23" fillId="0" borderId="23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205" fontId="9" fillId="0" borderId="39" xfId="0" applyNumberFormat="1" applyFont="1" applyBorder="1" applyAlignment="1">
      <alignment horizontal="left" vertical="center"/>
    </xf>
    <xf numFmtId="205" fontId="9" fillId="0" borderId="40" xfId="0" applyNumberFormat="1" applyFont="1" applyBorder="1" applyAlignment="1">
      <alignment horizontal="left" vertical="center"/>
    </xf>
    <xf numFmtId="0" fontId="50" fillId="0" borderId="36" xfId="0" applyFont="1" applyFill="1" applyBorder="1" applyAlignment="1">
      <alignment wrapText="1"/>
    </xf>
    <xf numFmtId="205" fontId="9" fillId="0" borderId="41" xfId="0" applyNumberFormat="1" applyFont="1" applyFill="1" applyBorder="1" applyAlignment="1">
      <alignment horizontal="left" vertical="center"/>
    </xf>
    <xf numFmtId="205" fontId="9" fillId="0" borderId="42" xfId="0" applyNumberFormat="1" applyFont="1" applyFill="1" applyBorder="1" applyAlignment="1">
      <alignment horizontal="left" vertical="center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left" wrapText="1"/>
    </xf>
    <xf numFmtId="205" fontId="9" fillId="0" borderId="43" xfId="0" applyNumberFormat="1" applyFont="1" applyBorder="1" applyAlignment="1">
      <alignment horizontal="left" vertical="center"/>
    </xf>
    <xf numFmtId="205" fontId="9" fillId="0" borderId="44" xfId="0" applyNumberFormat="1" applyFont="1" applyBorder="1" applyAlignment="1">
      <alignment horizontal="left" vertical="center"/>
    </xf>
    <xf numFmtId="0" fontId="50" fillId="0" borderId="38" xfId="0" applyFont="1" applyFill="1" applyBorder="1" applyAlignment="1">
      <alignment wrapText="1"/>
    </xf>
    <xf numFmtId="49" fontId="51" fillId="0" borderId="34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wrapText="1"/>
    </xf>
    <xf numFmtId="0" fontId="51" fillId="0" borderId="30" xfId="0" applyFont="1" applyBorder="1" applyAlignment="1">
      <alignment/>
    </xf>
    <xf numFmtId="0" fontId="5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10" fontId="10" fillId="0" borderId="13" xfId="15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165" fontId="51" fillId="0" borderId="0" xfId="81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0" fontId="51" fillId="0" borderId="19" xfId="15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19" xfId="150" applyNumberFormat="1" applyFont="1" applyBorder="1" applyAlignment="1">
      <alignment horizontal="center"/>
    </xf>
    <xf numFmtId="165" fontId="10" fillId="0" borderId="0" xfId="81" applyNumberFormat="1" applyFont="1" applyBorder="1" applyAlignment="1">
      <alignment horizontal="center"/>
    </xf>
    <xf numFmtId="0" fontId="51" fillId="0" borderId="19" xfId="0" applyFont="1" applyBorder="1" applyAlignment="1">
      <alignment/>
    </xf>
    <xf numFmtId="165" fontId="8" fillId="0" borderId="0" xfId="8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0" fontId="8" fillId="0" borderId="19" xfId="150" applyNumberFormat="1" applyFont="1" applyBorder="1" applyAlignment="1">
      <alignment horizontal="center" wrapText="1"/>
    </xf>
    <xf numFmtId="165" fontId="10" fillId="0" borderId="0" xfId="81" applyNumberFormat="1" applyFont="1" applyBorder="1" applyAlignment="1">
      <alignment horizontal="center" wrapText="1"/>
    </xf>
    <xf numFmtId="9" fontId="10" fillId="0" borderId="19" xfId="150" applyFont="1" applyBorder="1" applyAlignment="1">
      <alignment horizontal="center"/>
    </xf>
    <xf numFmtId="0" fontId="10" fillId="0" borderId="32" xfId="0" applyFont="1" applyBorder="1" applyAlignment="1">
      <alignment/>
    </xf>
    <xf numFmtId="10" fontId="51" fillId="0" borderId="14" xfId="150" applyNumberFormat="1" applyFont="1" applyBorder="1" applyAlignment="1">
      <alignment horizontal="center" wrapText="1"/>
    </xf>
    <xf numFmtId="9" fontId="10" fillId="0" borderId="14" xfId="150" applyFont="1" applyBorder="1" applyAlignment="1">
      <alignment horizontal="center"/>
    </xf>
    <xf numFmtId="10" fontId="10" fillId="0" borderId="11" xfId="150" applyNumberFormat="1" applyFont="1" applyBorder="1" applyAlignment="1">
      <alignment horizontal="center"/>
    </xf>
    <xf numFmtId="10" fontId="51" fillId="0" borderId="0" xfId="150" applyNumberFormat="1" applyFont="1" applyBorder="1" applyAlignment="1">
      <alignment horizontal="center"/>
    </xf>
    <xf numFmtId="10" fontId="10" fillId="0" borderId="0" xfId="150" applyNumberFormat="1" applyFont="1" applyBorder="1" applyAlignment="1">
      <alignment horizontal="center"/>
    </xf>
    <xf numFmtId="10" fontId="8" fillId="0" borderId="0" xfId="150" applyNumberFormat="1" applyFont="1" applyBorder="1" applyAlignment="1">
      <alignment horizontal="center" wrapText="1"/>
    </xf>
    <xf numFmtId="39" fontId="9" fillId="0" borderId="45" xfId="81" applyNumberFormat="1" applyFont="1" applyFill="1" applyBorder="1" applyAlignment="1">
      <alignment horizontal="center"/>
    </xf>
    <xf numFmtId="39" fontId="9" fillId="0" borderId="17" xfId="81" applyNumberFormat="1" applyFont="1" applyFill="1" applyBorder="1" applyAlignment="1">
      <alignment horizontal="center"/>
    </xf>
    <xf numFmtId="39" fontId="9" fillId="0" borderId="46" xfId="81" applyNumberFormat="1" applyFont="1" applyFill="1" applyBorder="1" applyAlignment="1">
      <alignment horizontal="center"/>
    </xf>
    <xf numFmtId="49" fontId="52" fillId="0" borderId="47" xfId="0" applyNumberFormat="1" applyFont="1" applyBorder="1" applyAlignment="1">
      <alignment horizontal="center" vertical="center"/>
    </xf>
    <xf numFmtId="49" fontId="52" fillId="0" borderId="35" xfId="0" applyNumberFormat="1" applyFont="1" applyBorder="1" applyAlignment="1">
      <alignment horizontal="center" vertical="center"/>
    </xf>
    <xf numFmtId="0" fontId="52" fillId="0" borderId="35" xfId="0" applyFont="1" applyFill="1" applyBorder="1" applyAlignment="1">
      <alignment vertical="center" wrapText="1"/>
    </xf>
    <xf numFmtId="165" fontId="49" fillId="0" borderId="23" xfId="81" applyNumberFormat="1" applyFont="1" applyFill="1" applyBorder="1" applyAlignment="1">
      <alignment vertical="center"/>
    </xf>
    <xf numFmtId="39" fontId="49" fillId="0" borderId="48" xfId="81" applyNumberFormat="1" applyFont="1" applyFill="1" applyBorder="1" applyAlignment="1">
      <alignment horizontal="center" vertical="center"/>
    </xf>
    <xf numFmtId="39" fontId="49" fillId="0" borderId="49" xfId="81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206" fontId="9" fillId="0" borderId="15" xfId="81" applyNumberFormat="1" applyFont="1" applyFill="1" applyBorder="1" applyAlignment="1">
      <alignment horizontal="right" vertical="center"/>
    </xf>
    <xf numFmtId="206" fontId="9" fillId="0" borderId="15" xfId="81" applyNumberFormat="1" applyFont="1" applyFill="1" applyBorder="1" applyAlignment="1">
      <alignment horizontal="center" vertical="center"/>
    </xf>
    <xf numFmtId="206" fontId="9" fillId="0" borderId="15" xfId="0" applyNumberFormat="1" applyFont="1" applyFill="1" applyBorder="1" applyAlignment="1">
      <alignment horizontal="right" vertical="center"/>
    </xf>
    <xf numFmtId="43" fontId="9" fillId="0" borderId="50" xfId="81" applyNumberFormat="1" applyFont="1" applyFill="1" applyBorder="1" applyAlignment="1">
      <alignment horizontal="center" vertical="center"/>
    </xf>
    <xf numFmtId="43" fontId="9" fillId="0" borderId="50" xfId="0" applyNumberFormat="1" applyFont="1" applyFill="1" applyBorder="1" applyAlignment="1">
      <alignment horizontal="center" vertical="center"/>
    </xf>
    <xf numFmtId="206" fontId="9" fillId="0" borderId="15" xfId="81" applyNumberFormat="1" applyFont="1" applyFill="1" applyBorder="1" applyAlignment="1">
      <alignment vertical="center"/>
    </xf>
    <xf numFmtId="43" fontId="9" fillId="0" borderId="50" xfId="0" applyNumberFormat="1" applyFont="1" applyFill="1" applyBorder="1" applyAlignment="1">
      <alignment vertical="center"/>
    </xf>
    <xf numFmtId="206" fontId="9" fillId="0" borderId="15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>
      <alignment vertical="center"/>
    </xf>
    <xf numFmtId="205" fontId="9" fillId="0" borderId="51" xfId="0" applyNumberFormat="1" applyFont="1" applyBorder="1" applyAlignment="1">
      <alignment horizontal="left" vertical="center"/>
    </xf>
    <xf numFmtId="205" fontId="9" fillId="0" borderId="52" xfId="0" applyNumberFormat="1" applyFont="1" applyBorder="1" applyAlignment="1">
      <alignment horizontal="left" vertical="center"/>
    </xf>
    <xf numFmtId="0" fontId="54" fillId="0" borderId="36" xfId="0" applyFont="1" applyFill="1" applyBorder="1" applyAlignment="1">
      <alignment vertical="center" wrapText="1"/>
    </xf>
    <xf numFmtId="205" fontId="9" fillId="0" borderId="53" xfId="0" applyNumberFormat="1" applyFont="1" applyBorder="1" applyAlignment="1">
      <alignment horizontal="left" vertical="center"/>
    </xf>
    <xf numFmtId="205" fontId="9" fillId="0" borderId="54" xfId="0" applyNumberFormat="1" applyFont="1" applyBorder="1" applyAlignment="1">
      <alignment horizontal="left" vertical="center"/>
    </xf>
    <xf numFmtId="0" fontId="54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left" vertical="center" wrapText="1"/>
    </xf>
    <xf numFmtId="1" fontId="9" fillId="0" borderId="53" xfId="0" applyNumberFormat="1" applyFont="1" applyBorder="1" applyAlignment="1">
      <alignment horizontal="left" vertical="center"/>
    </xf>
    <xf numFmtId="205" fontId="9" fillId="0" borderId="55" xfId="0" applyNumberFormat="1" applyFont="1" applyBorder="1" applyAlignment="1">
      <alignment horizontal="left" vertical="center"/>
    </xf>
    <xf numFmtId="205" fontId="9" fillId="0" borderId="56" xfId="0" applyNumberFormat="1" applyFont="1" applyBorder="1" applyAlignment="1">
      <alignment horizontal="left" vertical="center"/>
    </xf>
    <xf numFmtId="0" fontId="54" fillId="0" borderId="38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shrinkToFit="1"/>
    </xf>
    <xf numFmtId="3" fontId="9" fillId="0" borderId="36" xfId="0" applyNumberFormat="1" applyFont="1" applyFill="1" applyBorder="1" applyAlignment="1">
      <alignment horizontal="right"/>
    </xf>
    <xf numFmtId="206" fontId="9" fillId="0" borderId="36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right"/>
    </xf>
    <xf numFmtId="206" fontId="9" fillId="0" borderId="38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165" fontId="54" fillId="0" borderId="7" xfId="83" applyNumberFormat="1" applyFont="1" applyFill="1" applyBorder="1" applyAlignment="1">
      <alignment horizontal="right"/>
    </xf>
    <xf numFmtId="165" fontId="18" fillId="26" borderId="0" xfId="81" applyNumberFormat="1" applyFont="1" applyFill="1" applyAlignment="1">
      <alignment/>
    </xf>
    <xf numFmtId="0" fontId="1" fillId="25" borderId="29" xfId="0" applyFont="1" applyFill="1" applyBorder="1" applyAlignment="1">
      <alignment horizontal="center" wrapText="1"/>
    </xf>
    <xf numFmtId="0" fontId="5" fillId="0" borderId="0" xfId="130" applyFont="1">
      <alignment/>
      <protection/>
    </xf>
    <xf numFmtId="0" fontId="26" fillId="0" borderId="30" xfId="130" applyFont="1" applyBorder="1">
      <alignment/>
      <protection/>
    </xf>
    <xf numFmtId="0" fontId="26" fillId="0" borderId="11" xfId="130" applyFont="1" applyBorder="1" applyAlignment="1">
      <alignment/>
      <protection/>
    </xf>
    <xf numFmtId="0" fontId="27" fillId="0" borderId="11" xfId="130" applyFont="1" applyBorder="1" applyAlignment="1">
      <alignment horizontal="center"/>
      <protection/>
    </xf>
    <xf numFmtId="10" fontId="27" fillId="0" borderId="11" xfId="151" applyNumberFormat="1" applyFont="1" applyBorder="1" applyAlignment="1">
      <alignment horizontal="center"/>
    </xf>
    <xf numFmtId="10" fontId="27" fillId="0" borderId="13" xfId="151" applyNumberFormat="1" applyFont="1" applyBorder="1" applyAlignment="1">
      <alignment horizontal="center"/>
    </xf>
    <xf numFmtId="0" fontId="7" fillId="0" borderId="0" xfId="130" applyFont="1">
      <alignment/>
      <protection/>
    </xf>
    <xf numFmtId="0" fontId="27" fillId="0" borderId="31" xfId="130" applyFont="1" applyBorder="1">
      <alignment/>
      <protection/>
    </xf>
    <xf numFmtId="0" fontId="19" fillId="0" borderId="0" xfId="130" applyFont="1" applyBorder="1" applyAlignment="1">
      <alignment/>
      <protection/>
    </xf>
    <xf numFmtId="0" fontId="19" fillId="0" borderId="0" xfId="130" applyFont="1" applyBorder="1" applyAlignment="1">
      <alignment horizontal="center"/>
      <protection/>
    </xf>
    <xf numFmtId="1" fontId="19" fillId="0" borderId="0" xfId="151" applyNumberFormat="1" applyFont="1" applyBorder="1" applyAlignment="1">
      <alignment horizontal="center"/>
    </xf>
    <xf numFmtId="0" fontId="27" fillId="0" borderId="19" xfId="130" applyFont="1" applyBorder="1">
      <alignment/>
      <protection/>
    </xf>
    <xf numFmtId="0" fontId="6" fillId="0" borderId="0" xfId="130" applyFont="1">
      <alignment/>
      <protection/>
    </xf>
    <xf numFmtId="1" fontId="28" fillId="0" borderId="0" xfId="151" applyNumberFormat="1" applyFont="1" applyBorder="1" applyAlignment="1">
      <alignment horizontal="center"/>
    </xf>
    <xf numFmtId="10" fontId="28" fillId="0" borderId="19" xfId="151" applyNumberFormat="1" applyFont="1" applyBorder="1" applyAlignment="1">
      <alignment horizontal="center" wrapText="1"/>
    </xf>
    <xf numFmtId="1" fontId="57" fillId="0" borderId="0" xfId="151" applyNumberFormat="1" applyFont="1" applyBorder="1" applyAlignment="1">
      <alignment horizontal="center" wrapText="1"/>
    </xf>
    <xf numFmtId="10" fontId="28" fillId="0" borderId="19" xfId="151" applyNumberFormat="1" applyFont="1" applyBorder="1" applyAlignment="1">
      <alignment horizontal="center" vertical="center" wrapText="1"/>
    </xf>
    <xf numFmtId="0" fontId="27" fillId="0" borderId="32" xfId="130" applyFont="1" applyBorder="1">
      <alignment/>
      <protection/>
    </xf>
    <xf numFmtId="0" fontId="27" fillId="0" borderId="12" xfId="130" applyFont="1" applyBorder="1" applyAlignment="1">
      <alignment/>
      <protection/>
    </xf>
    <xf numFmtId="1" fontId="28" fillId="0" borderId="12" xfId="151" applyNumberFormat="1" applyFont="1" applyBorder="1" applyAlignment="1">
      <alignment horizontal="center"/>
    </xf>
    <xf numFmtId="1" fontId="28" fillId="0" borderId="12" xfId="151" applyNumberFormat="1" applyFont="1" applyBorder="1" applyAlignment="1">
      <alignment/>
    </xf>
    <xf numFmtId="0" fontId="28" fillId="0" borderId="14" xfId="130" applyFont="1" applyBorder="1" applyAlignment="1">
      <alignment horizontal="center"/>
      <protection/>
    </xf>
    <xf numFmtId="0" fontId="83" fillId="0" borderId="0" xfId="130" applyFont="1">
      <alignment/>
      <protection/>
    </xf>
    <xf numFmtId="0" fontId="26" fillId="0" borderId="0" xfId="130" applyFont="1">
      <alignment/>
      <protection/>
    </xf>
    <xf numFmtId="0" fontId="26" fillId="0" borderId="0" xfId="130" applyFont="1" applyAlignment="1" quotePrefix="1">
      <alignment/>
      <protection/>
    </xf>
    <xf numFmtId="10" fontId="26" fillId="0" borderId="0" xfId="151" applyNumberFormat="1" applyFont="1" applyAlignment="1" quotePrefix="1">
      <alignment horizontal="right"/>
    </xf>
    <xf numFmtId="10" fontId="26" fillId="0" borderId="0" xfId="151" applyNumberFormat="1" applyFont="1" applyAlignment="1" quotePrefix="1">
      <alignment/>
    </xf>
    <xf numFmtId="10" fontId="26" fillId="0" borderId="0" xfId="151" applyNumberFormat="1" applyFont="1" applyAlignment="1" quotePrefix="1">
      <alignment horizontal="center"/>
    </xf>
    <xf numFmtId="49" fontId="20" fillId="0" borderId="51" xfId="130" applyNumberFormat="1" applyFont="1" applyBorder="1" applyAlignment="1">
      <alignment horizontal="left"/>
      <protection/>
    </xf>
    <xf numFmtId="0" fontId="21" fillId="0" borderId="36" xfId="130" applyFont="1" applyFill="1" applyBorder="1" applyAlignment="1">
      <alignment wrapText="1"/>
      <protection/>
    </xf>
    <xf numFmtId="39" fontId="20" fillId="0" borderId="59" xfId="85" applyNumberFormat="1" applyFont="1" applyFill="1" applyBorder="1" applyAlignment="1">
      <alignment horizontal="center"/>
    </xf>
    <xf numFmtId="10" fontId="7" fillId="0" borderId="0" xfId="151" applyNumberFormat="1" applyFont="1" applyAlignment="1">
      <alignment/>
    </xf>
    <xf numFmtId="49" fontId="20" fillId="0" borderId="53" xfId="130" applyNumberFormat="1" applyFont="1" applyBorder="1" applyAlignment="1">
      <alignment horizontal="left"/>
      <protection/>
    </xf>
    <xf numFmtId="0" fontId="21" fillId="0" borderId="15" xfId="130" applyFont="1" applyFill="1" applyBorder="1" applyAlignment="1">
      <alignment wrapText="1"/>
      <protection/>
    </xf>
    <xf numFmtId="39" fontId="20" fillId="0" borderId="42" xfId="85" applyNumberFormat="1" applyFont="1" applyFill="1" applyBorder="1" applyAlignment="1">
      <alignment horizontal="left"/>
    </xf>
    <xf numFmtId="39" fontId="20" fillId="0" borderId="15" xfId="85" applyNumberFormat="1" applyFont="1" applyFill="1" applyBorder="1" applyAlignment="1">
      <alignment horizontal="center"/>
    </xf>
    <xf numFmtId="49" fontId="20" fillId="0" borderId="60" xfId="130" applyNumberFormat="1" applyFont="1" applyBorder="1" applyAlignment="1">
      <alignment horizontal="left"/>
      <protection/>
    </xf>
    <xf numFmtId="0" fontId="21" fillId="0" borderId="37" xfId="130" applyFont="1" applyFill="1" applyBorder="1" applyAlignment="1">
      <alignment wrapText="1"/>
      <protection/>
    </xf>
    <xf numFmtId="49" fontId="18" fillId="0" borderId="34" xfId="130" applyNumberFormat="1" applyFont="1" applyBorder="1" applyAlignment="1">
      <alignment horizontal="left"/>
      <protection/>
    </xf>
    <xf numFmtId="0" fontId="24" fillId="0" borderId="34" xfId="130" applyFont="1" applyFill="1" applyBorder="1" applyAlignment="1">
      <alignment wrapText="1"/>
      <protection/>
    </xf>
    <xf numFmtId="39" fontId="20" fillId="0" borderId="34" xfId="85" applyNumberFormat="1" applyFont="1" applyFill="1" applyBorder="1" applyAlignment="1">
      <alignment horizontal="center"/>
    </xf>
    <xf numFmtId="49" fontId="32" fillId="0" borderId="47" xfId="130" applyNumberFormat="1" applyFont="1" applyBorder="1" applyAlignment="1">
      <alignment horizontal="center"/>
      <protection/>
    </xf>
    <xf numFmtId="0" fontId="84" fillId="0" borderId="34" xfId="130" applyFont="1" applyFill="1" applyBorder="1" applyAlignment="1">
      <alignment wrapText="1"/>
      <protection/>
    </xf>
    <xf numFmtId="39" fontId="85" fillId="0" borderId="34" xfId="85" applyNumberFormat="1" applyFont="1" applyFill="1" applyBorder="1" applyAlignment="1">
      <alignment horizontal="center"/>
    </xf>
    <xf numFmtId="49" fontId="12" fillId="0" borderId="0" xfId="130" applyNumberFormat="1" applyFont="1" applyBorder="1" applyAlignment="1">
      <alignment horizontal="center"/>
      <protection/>
    </xf>
    <xf numFmtId="0" fontId="13" fillId="0" borderId="0" xfId="130" applyFont="1" applyFill="1" applyBorder="1" applyAlignment="1">
      <alignment wrapText="1"/>
      <protection/>
    </xf>
    <xf numFmtId="39" fontId="9" fillId="0" borderId="0" xfId="85" applyNumberFormat="1" applyFont="1" applyFill="1" applyBorder="1" applyAlignment="1">
      <alignment horizontal="center"/>
    </xf>
    <xf numFmtId="49" fontId="29" fillId="0" borderId="0" xfId="130" applyNumberFormat="1" applyFont="1" applyFill="1" applyBorder="1" applyAlignment="1">
      <alignment horizontal="left"/>
      <protection/>
    </xf>
    <xf numFmtId="167" fontId="29" fillId="0" borderId="0" xfId="130" applyNumberFormat="1" applyFont="1" applyAlignment="1">
      <alignment horizontal="left"/>
      <protection/>
    </xf>
    <xf numFmtId="0" fontId="30" fillId="0" borderId="0" xfId="130" applyFont="1">
      <alignment/>
      <protection/>
    </xf>
    <xf numFmtId="0" fontId="29" fillId="0" borderId="0" xfId="130" applyFont="1">
      <alignment/>
      <protection/>
    </xf>
    <xf numFmtId="49" fontId="31" fillId="0" borderId="0" xfId="130" applyNumberFormat="1" applyFont="1" applyFill="1" applyBorder="1">
      <alignment/>
      <protection/>
    </xf>
    <xf numFmtId="39" fontId="31" fillId="0" borderId="0" xfId="85" applyNumberFormat="1" applyFont="1" applyFill="1" applyBorder="1" applyAlignment="1">
      <alignment horizontal="center"/>
    </xf>
    <xf numFmtId="0" fontId="7" fillId="0" borderId="0" xfId="130" applyFont="1" applyAlignment="1">
      <alignment/>
      <protection/>
    </xf>
    <xf numFmtId="0" fontId="83" fillId="0" borderId="0" xfId="130" applyFont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39" fontId="9" fillId="0" borderId="13" xfId="85" applyNumberFormat="1" applyFont="1" applyFill="1" applyBorder="1" applyAlignment="1">
      <alignment horizontal="center"/>
    </xf>
    <xf numFmtId="39" fontId="51" fillId="0" borderId="61" xfId="85" applyNumberFormat="1" applyFont="1" applyFill="1" applyBorder="1" applyAlignment="1">
      <alignment horizontal="center"/>
    </xf>
    <xf numFmtId="39" fontId="51" fillId="0" borderId="19" xfId="85" applyNumberFormat="1" applyFont="1" applyFill="1" applyBorder="1" applyAlignment="1">
      <alignment horizontal="center"/>
    </xf>
    <xf numFmtId="39" fontId="51" fillId="0" borderId="61" xfId="85" applyNumberFormat="1" applyFont="1" applyFill="1" applyBorder="1" applyAlignment="1">
      <alignment horizontal="left"/>
    </xf>
    <xf numFmtId="39" fontId="51" fillId="0" borderId="14" xfId="85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39" fontId="20" fillId="0" borderId="62" xfId="85" applyNumberFormat="1" applyFont="1" applyFill="1" applyBorder="1" applyAlignment="1">
      <alignment horizontal="left"/>
    </xf>
    <xf numFmtId="39" fontId="20" fillId="0" borderId="17" xfId="85" applyNumberFormat="1" applyFont="1" applyFill="1" applyBorder="1" applyAlignment="1">
      <alignment horizontal="left"/>
    </xf>
    <xf numFmtId="49" fontId="25" fillId="0" borderId="0" xfId="130" applyNumberFormat="1" applyFont="1" applyFill="1" applyBorder="1" applyAlignment="1">
      <alignment/>
      <protection/>
    </xf>
    <xf numFmtId="165" fontId="10" fillId="0" borderId="12" xfId="81" applyNumberFormat="1" applyFont="1" applyFill="1" applyBorder="1" applyAlignment="1">
      <alignment horizontal="center" wrapText="1"/>
    </xf>
    <xf numFmtId="165" fontId="51" fillId="0" borderId="12" xfId="81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10" fontId="53" fillId="0" borderId="12" xfId="15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4" fontId="20" fillId="0" borderId="63" xfId="85" applyNumberFormat="1" applyFont="1" applyFill="1" applyBorder="1" applyAlignment="1">
      <alignment horizontal="center"/>
    </xf>
    <xf numFmtId="4" fontId="20" fillId="0" borderId="50" xfId="85" applyNumberFormat="1" applyFont="1" applyFill="1" applyBorder="1" applyAlignment="1">
      <alignment horizontal="center"/>
    </xf>
    <xf numFmtId="4" fontId="20" fillId="0" borderId="64" xfId="85" applyNumberFormat="1" applyFont="1" applyFill="1" applyBorder="1" applyAlignment="1">
      <alignment horizontal="center"/>
    </xf>
    <xf numFmtId="4" fontId="20" fillId="0" borderId="34" xfId="85" applyNumberFormat="1" applyFont="1" applyFill="1" applyBorder="1" applyAlignment="1">
      <alignment horizontal="center"/>
    </xf>
    <xf numFmtId="4" fontId="85" fillId="0" borderId="49" xfId="85" applyNumberFormat="1" applyFont="1" applyFill="1" applyBorder="1" applyAlignment="1">
      <alignment horizontal="center"/>
    </xf>
    <xf numFmtId="43" fontId="9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1" fillId="27" borderId="12" xfId="0" applyFont="1" applyFill="1" applyBorder="1" applyAlignment="1">
      <alignment horizontal="center" wrapText="1"/>
    </xf>
    <xf numFmtId="0" fontId="51" fillId="28" borderId="11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/>
    </xf>
    <xf numFmtId="0" fontId="21" fillId="0" borderId="15" xfId="130" applyFont="1" applyFill="1" applyBorder="1" applyAlignment="1">
      <alignment/>
      <protection/>
    </xf>
    <xf numFmtId="0" fontId="59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 vertical="top"/>
    </xf>
    <xf numFmtId="0" fontId="86" fillId="0" borderId="0" xfId="0" applyFont="1" applyBorder="1" applyAlignment="1">
      <alignment horizontal="center" vertical="top"/>
    </xf>
    <xf numFmtId="42" fontId="86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2" fillId="0" borderId="65" xfId="0" applyFont="1" applyBorder="1" applyAlignment="1">
      <alignment horizontal="center"/>
    </xf>
    <xf numFmtId="0" fontId="62" fillId="0" borderId="65" xfId="0" applyFont="1" applyBorder="1" applyAlignment="1">
      <alignment/>
    </xf>
    <xf numFmtId="42" fontId="62" fillId="0" borderId="65" xfId="0" applyNumberFormat="1" applyFont="1" applyBorder="1" applyAlignment="1">
      <alignment horizontal="center"/>
    </xf>
    <xf numFmtId="6" fontId="62" fillId="0" borderId="65" xfId="0" applyNumberFormat="1" applyFont="1" applyBorder="1" applyAlignment="1">
      <alignment horizontal="center"/>
    </xf>
    <xf numFmtId="6" fontId="62" fillId="0" borderId="66" xfId="0" applyNumberFormat="1" applyFont="1" applyBorder="1" applyAlignment="1">
      <alignment horizontal="center"/>
    </xf>
    <xf numFmtId="0" fontId="62" fillId="0" borderId="66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67" xfId="0" applyFont="1" applyBorder="1" applyAlignment="1">
      <alignment horizontal="center" vertical="top"/>
    </xf>
    <xf numFmtId="0" fontId="62" fillId="0" borderId="67" xfId="0" applyFont="1" applyBorder="1" applyAlignment="1">
      <alignment vertical="top"/>
    </xf>
    <xf numFmtId="42" fontId="62" fillId="0" borderId="67" xfId="0" applyNumberFormat="1" applyFont="1" applyBorder="1" applyAlignment="1">
      <alignment horizontal="center" vertical="top"/>
    </xf>
    <xf numFmtId="6" fontId="62" fillId="0" borderId="67" xfId="0" applyNumberFormat="1" applyFont="1" applyBorder="1" applyAlignment="1">
      <alignment horizontal="center" vertical="top"/>
    </xf>
    <xf numFmtId="6" fontId="62" fillId="0" borderId="68" xfId="0" applyNumberFormat="1" applyFont="1" applyBorder="1" applyAlignment="1">
      <alignment horizontal="center" vertical="top"/>
    </xf>
    <xf numFmtId="0" fontId="62" fillId="0" borderId="68" xfId="0" applyFont="1" applyBorder="1" applyAlignment="1">
      <alignment horizontal="center" vertical="top"/>
    </xf>
    <xf numFmtId="168" fontId="88" fillId="0" borderId="0" xfId="83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0" fontId="62" fillId="0" borderId="0" xfId="0" applyFont="1" applyAlignment="1">
      <alignment vertical="top"/>
    </xf>
    <xf numFmtId="168" fontId="88" fillId="0" borderId="0" xfId="83" applyNumberFormat="1" applyFont="1" applyAlignment="1">
      <alignment horizontal="center" vertical="top"/>
    </xf>
    <xf numFmtId="0" fontId="56" fillId="0" borderId="29" xfId="143" applyFont="1" applyFill="1" applyBorder="1" applyAlignment="1">
      <alignment horizontal="center" wrapText="1"/>
      <protection/>
    </xf>
    <xf numFmtId="0" fontId="56" fillId="0" borderId="69" xfId="143" applyFont="1" applyFill="1" applyBorder="1" applyAlignment="1">
      <alignment wrapText="1"/>
      <protection/>
    </xf>
    <xf numFmtId="165" fontId="56" fillId="0" borderId="69" xfId="83" applyNumberFormat="1" applyFont="1" applyFill="1" applyBorder="1" applyAlignment="1">
      <alignment horizontal="right" wrapText="1"/>
    </xf>
    <xf numFmtId="2" fontId="11" fillId="0" borderId="69" xfId="96" applyNumberFormat="1" applyFont="1" applyBorder="1" applyAlignment="1">
      <alignment horizontal="center"/>
    </xf>
    <xf numFmtId="6" fontId="89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168" fontId="89" fillId="0" borderId="0" xfId="83" applyNumberFormat="1" applyFont="1" applyAlignment="1">
      <alignment horizontal="center"/>
    </xf>
    <xf numFmtId="0" fontId="56" fillId="0" borderId="69" xfId="143" applyFont="1" applyFill="1" applyBorder="1" applyAlignment="1">
      <alignment horizontal="center" wrapText="1"/>
      <protection/>
    </xf>
    <xf numFmtId="0" fontId="56" fillId="0" borderId="29" xfId="143" applyFont="1" applyFill="1" applyBorder="1" applyAlignment="1" quotePrefix="1">
      <alignment horizontal="center" wrapText="1"/>
      <protection/>
    </xf>
    <xf numFmtId="0" fontId="56" fillId="0" borderId="69" xfId="143" applyFont="1" applyFill="1" applyBorder="1" applyAlignment="1" quotePrefix="1">
      <alignment horizontal="center" wrapText="1"/>
      <protection/>
    </xf>
    <xf numFmtId="165" fontId="56" fillId="29" borderId="69" xfId="83" applyNumberFormat="1" applyFont="1" applyFill="1" applyBorder="1" applyAlignment="1">
      <alignment horizontal="right" wrapText="1"/>
    </xf>
    <xf numFmtId="6" fontId="89" fillId="27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9" fillId="0" borderId="26" xfId="83" applyNumberFormat="1" applyFont="1" applyBorder="1" applyAlignment="1">
      <alignment/>
    </xf>
    <xf numFmtId="165" fontId="9" fillId="0" borderId="70" xfId="83" applyNumberFormat="1" applyFont="1" applyBorder="1" applyAlignment="1">
      <alignment/>
    </xf>
    <xf numFmtId="165" fontId="9" fillId="0" borderId="71" xfId="83" applyNumberFormat="1" applyFont="1" applyBorder="1" applyAlignment="1">
      <alignment/>
    </xf>
    <xf numFmtId="165" fontId="9" fillId="0" borderId="28" xfId="83" applyNumberFormat="1" applyFont="1" applyBorder="1" applyAlignment="1">
      <alignment/>
    </xf>
    <xf numFmtId="165" fontId="9" fillId="0" borderId="72" xfId="83" applyNumberFormat="1" applyFont="1" applyBorder="1" applyAlignment="1">
      <alignment/>
    </xf>
    <xf numFmtId="165" fontId="9" fillId="0" borderId="73" xfId="83" applyNumberFormat="1" applyFont="1" applyBorder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42" fontId="63" fillId="0" borderId="0" xfId="83" applyNumberFormat="1" applyFont="1" applyAlignment="1">
      <alignment/>
    </xf>
    <xf numFmtId="165" fontId="63" fillId="0" borderId="0" xfId="83" applyNumberFormat="1" applyFont="1" applyAlignment="1">
      <alignment/>
    </xf>
    <xf numFmtId="0" fontId="90" fillId="0" borderId="0" xfId="0" applyFont="1" applyAlignment="1">
      <alignment horizontal="center"/>
    </xf>
    <xf numFmtId="165" fontId="56" fillId="30" borderId="69" xfId="83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13" fillId="0" borderId="0" xfId="0" applyFont="1" applyAlignment="1">
      <alignment/>
    </xf>
    <xf numFmtId="0" fontId="60" fillId="0" borderId="0" xfId="128" applyFont="1">
      <alignment/>
      <protection/>
    </xf>
    <xf numFmtId="0" fontId="59" fillId="0" borderId="0" xfId="128" applyFont="1" applyBorder="1" applyAlignment="1">
      <alignment horizontal="center"/>
      <protection/>
    </xf>
    <xf numFmtId="168" fontId="90" fillId="0" borderId="0" xfId="84" applyNumberFormat="1" applyFont="1" applyAlignment="1">
      <alignment horizontal="center"/>
    </xf>
    <xf numFmtId="0" fontId="86" fillId="0" borderId="0" xfId="128" applyFont="1" applyBorder="1" applyAlignment="1">
      <alignment horizontal="center"/>
      <protection/>
    </xf>
    <xf numFmtId="0" fontId="62" fillId="0" borderId="0" xfId="128" applyFont="1">
      <alignment/>
      <protection/>
    </xf>
    <xf numFmtId="0" fontId="11" fillId="0" borderId="65" xfId="128" applyFont="1" applyBorder="1" applyAlignment="1">
      <alignment horizontal="center"/>
      <protection/>
    </xf>
    <xf numFmtId="0" fontId="11" fillId="0" borderId="65" xfId="128" applyFont="1" applyBorder="1">
      <alignment/>
      <protection/>
    </xf>
    <xf numFmtId="0" fontId="11" fillId="0" borderId="66" xfId="128" applyFont="1" applyBorder="1" applyAlignment="1">
      <alignment horizontal="center"/>
      <protection/>
    </xf>
    <xf numFmtId="0" fontId="11" fillId="0" borderId="0" xfId="128" applyFont="1" applyBorder="1" applyAlignment="1">
      <alignment horizontal="center" wrapText="1"/>
      <protection/>
    </xf>
    <xf numFmtId="168" fontId="87" fillId="0" borderId="0" xfId="84" applyNumberFormat="1" applyFont="1" applyAlignment="1">
      <alignment horizontal="center"/>
    </xf>
    <xf numFmtId="0" fontId="11" fillId="0" borderId="74" xfId="128" applyFont="1" applyBorder="1" applyAlignment="1">
      <alignment horizontal="center"/>
      <protection/>
    </xf>
    <xf numFmtId="0" fontId="11" fillId="0" borderId="74" xfId="128" applyFont="1" applyBorder="1">
      <alignment/>
      <protection/>
    </xf>
    <xf numFmtId="0" fontId="11" fillId="0" borderId="75" xfId="128" applyFont="1" applyBorder="1" applyAlignment="1">
      <alignment horizontal="center"/>
      <protection/>
    </xf>
    <xf numFmtId="0" fontId="56" fillId="0" borderId="0" xfId="128" applyFont="1" applyBorder="1" applyAlignment="1">
      <alignment horizontal="center" wrapText="1"/>
      <protection/>
    </xf>
    <xf numFmtId="0" fontId="62" fillId="0" borderId="0" xfId="128" applyFont="1" applyAlignment="1">
      <alignment vertical="top"/>
      <protection/>
    </xf>
    <xf numFmtId="0" fontId="62" fillId="0" borderId="67" xfId="128" applyFont="1" applyBorder="1" applyAlignment="1">
      <alignment horizontal="center" vertical="top"/>
      <protection/>
    </xf>
    <xf numFmtId="0" fontId="62" fillId="0" borderId="67" xfId="128" applyFont="1" applyBorder="1" applyAlignment="1">
      <alignment vertical="top"/>
      <protection/>
    </xf>
    <xf numFmtId="0" fontId="8" fillId="0" borderId="68" xfId="128" applyFont="1" applyBorder="1" applyAlignment="1">
      <alignment horizontal="center" vertical="top"/>
      <protection/>
    </xf>
    <xf numFmtId="0" fontId="65" fillId="0" borderId="67" xfId="128" applyFont="1" applyBorder="1" applyAlignment="1">
      <alignment horizontal="center" vertical="top" wrapText="1"/>
      <protection/>
    </xf>
    <xf numFmtId="0" fontId="65" fillId="0" borderId="0" xfId="128" applyFont="1" applyBorder="1" applyAlignment="1">
      <alignment horizontal="center" vertical="top" wrapText="1"/>
      <protection/>
    </xf>
    <xf numFmtId="168" fontId="88" fillId="0" borderId="0" xfId="84" applyNumberFormat="1" applyFont="1" applyAlignment="1">
      <alignment horizontal="center" vertical="top"/>
    </xf>
    <xf numFmtId="0" fontId="83" fillId="0" borderId="0" xfId="128" applyFont="1">
      <alignment/>
      <protection/>
    </xf>
    <xf numFmtId="0" fontId="56" fillId="0" borderId="0" xfId="128" applyFont="1">
      <alignment/>
      <protection/>
    </xf>
    <xf numFmtId="0" fontId="54" fillId="0" borderId="29" xfId="143" applyFont="1" applyFill="1" applyBorder="1" applyAlignment="1">
      <alignment horizontal="center" wrapText="1"/>
      <protection/>
    </xf>
    <xf numFmtId="0" fontId="54" fillId="0" borderId="69" xfId="143" applyFont="1" applyFill="1" applyBorder="1" applyAlignment="1">
      <alignment wrapText="1"/>
      <protection/>
    </xf>
    <xf numFmtId="2" fontId="9" fillId="0" borderId="69" xfId="96" applyNumberFormat="1" applyFont="1" applyBorder="1" applyAlignment="1">
      <alignment horizontal="center"/>
    </xf>
    <xf numFmtId="174" fontId="8" fillId="0" borderId="69" xfId="96" applyNumberFormat="1" applyFont="1" applyBorder="1" applyAlignment="1">
      <alignment horizontal="center"/>
    </xf>
    <xf numFmtId="174" fontId="11" fillId="0" borderId="0" xfId="96" applyNumberFormat="1" applyFont="1" applyBorder="1" applyAlignment="1">
      <alignment horizontal="center"/>
    </xf>
    <xf numFmtId="168" fontId="89" fillId="0" borderId="0" xfId="84" applyNumberFormat="1" applyFont="1" applyAlignment="1">
      <alignment horizontal="center"/>
    </xf>
    <xf numFmtId="10" fontId="56" fillId="0" borderId="0" xfId="155" applyNumberFormat="1" applyFont="1" applyAlignment="1">
      <alignment/>
    </xf>
    <xf numFmtId="0" fontId="54" fillId="0" borderId="69" xfId="143" applyFont="1" applyFill="1" applyBorder="1" applyAlignment="1">
      <alignment horizontal="center" wrapText="1"/>
      <protection/>
    </xf>
    <xf numFmtId="10" fontId="56" fillId="31" borderId="0" xfId="155" applyNumberFormat="1" applyFont="1" applyFill="1" applyAlignment="1">
      <alignment/>
    </xf>
    <xf numFmtId="0" fontId="54" fillId="0" borderId="29" xfId="143" applyFont="1" applyFill="1" applyBorder="1" applyAlignment="1" quotePrefix="1">
      <alignment horizontal="center" wrapText="1"/>
      <protection/>
    </xf>
    <xf numFmtId="0" fontId="54" fillId="0" borderId="69" xfId="143" applyFont="1" applyFill="1" applyBorder="1" applyAlignment="1" quotePrefix="1">
      <alignment horizontal="center" wrapText="1"/>
      <protection/>
    </xf>
    <xf numFmtId="2" fontId="14" fillId="0" borderId="69" xfId="96" applyNumberFormat="1" applyFont="1" applyBorder="1" applyAlignment="1">
      <alignment horizontal="center"/>
    </xf>
    <xf numFmtId="174" fontId="11" fillId="0" borderId="69" xfId="96" applyNumberFormat="1" applyFont="1" applyBorder="1" applyAlignment="1">
      <alignment horizontal="center"/>
    </xf>
    <xf numFmtId="0" fontId="63" fillId="0" borderId="0" xfId="128" applyFont="1">
      <alignment/>
      <protection/>
    </xf>
    <xf numFmtId="0" fontId="63" fillId="0" borderId="0" xfId="128" applyFont="1" applyAlignment="1">
      <alignment horizontal="center"/>
      <protection/>
    </xf>
    <xf numFmtId="165" fontId="63" fillId="0" borderId="0" xfId="84" applyNumberFormat="1" applyFont="1" applyAlignment="1">
      <alignment/>
    </xf>
    <xf numFmtId="39" fontId="8" fillId="30" borderId="17" xfId="8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206" fontId="9" fillId="30" borderId="15" xfId="81" applyNumberFormat="1" applyFont="1" applyFill="1" applyBorder="1" applyAlignment="1">
      <alignment horizontal="center" vertical="center"/>
    </xf>
    <xf numFmtId="206" fontId="9" fillId="30" borderId="15" xfId="81" applyNumberFormat="1" applyFont="1" applyFill="1" applyBorder="1" applyAlignment="1">
      <alignment horizontal="right" vertical="center"/>
    </xf>
    <xf numFmtId="3" fontId="9" fillId="30" borderId="15" xfId="0" applyNumberFormat="1" applyFont="1" applyFill="1" applyBorder="1" applyAlignment="1">
      <alignment/>
    </xf>
    <xf numFmtId="3" fontId="9" fillId="30" borderId="15" xfId="0" applyNumberFormat="1" applyFont="1" applyFill="1" applyBorder="1" applyAlignment="1">
      <alignment horizontal="right"/>
    </xf>
    <xf numFmtId="206" fontId="9" fillId="30" borderId="15" xfId="0" applyNumberFormat="1" applyFont="1" applyFill="1" applyBorder="1" applyAlignment="1">
      <alignment horizontal="right" vertical="center"/>
    </xf>
    <xf numFmtId="206" fontId="9" fillId="30" borderId="15" xfId="0" applyNumberFormat="1" applyFont="1" applyFill="1" applyBorder="1" applyAlignment="1">
      <alignment horizontal="center" vertical="center"/>
    </xf>
    <xf numFmtId="0" fontId="9" fillId="0" borderId="0" xfId="141" applyFont="1">
      <alignment/>
      <protection/>
    </xf>
    <xf numFmtId="0" fontId="67" fillId="0" borderId="0" xfId="142" applyFont="1">
      <alignment/>
      <protection/>
    </xf>
    <xf numFmtId="0" fontId="68" fillId="0" borderId="0" xfId="142" applyFont="1" applyBorder="1" applyAlignment="1">
      <alignment horizontal="center" vertical="center"/>
      <protection/>
    </xf>
    <xf numFmtId="0" fontId="61" fillId="0" borderId="0" xfId="142" applyFont="1" applyBorder="1" applyAlignment="1">
      <alignment horizontal="center" vertical="top"/>
      <protection/>
    </xf>
    <xf numFmtId="0" fontId="60" fillId="0" borderId="0" xfId="142" applyFont="1">
      <alignment/>
      <protection/>
    </xf>
    <xf numFmtId="0" fontId="62" fillId="0" borderId="65" xfId="142" applyFont="1" applyBorder="1" applyAlignment="1">
      <alignment horizontal="center" vertical="center"/>
      <protection/>
    </xf>
    <xf numFmtId="0" fontId="62" fillId="0" borderId="65" xfId="142" applyFont="1" applyBorder="1" applyAlignment="1">
      <alignment vertical="center"/>
      <protection/>
    </xf>
    <xf numFmtId="0" fontId="62" fillId="0" borderId="66" xfId="142" applyFont="1" applyBorder="1" applyAlignment="1">
      <alignment horizontal="center" vertical="center"/>
      <protection/>
    </xf>
    <xf numFmtId="0" fontId="62" fillId="0" borderId="0" xfId="142" applyFont="1">
      <alignment/>
      <protection/>
    </xf>
    <xf numFmtId="0" fontId="62" fillId="0" borderId="67" xfId="142" applyFont="1" applyBorder="1" applyAlignment="1">
      <alignment horizontal="center" vertical="center"/>
      <protection/>
    </xf>
    <xf numFmtId="0" fontId="62" fillId="0" borderId="67" xfId="142" applyFont="1" applyBorder="1" applyAlignment="1">
      <alignment vertical="center"/>
      <protection/>
    </xf>
    <xf numFmtId="0" fontId="62" fillId="0" borderId="68" xfId="142" applyFont="1" applyBorder="1" applyAlignment="1">
      <alignment horizontal="center" vertical="center"/>
      <protection/>
    </xf>
    <xf numFmtId="0" fontId="62" fillId="0" borderId="0" xfId="142" applyFont="1" applyAlignment="1">
      <alignment vertical="top"/>
      <protection/>
    </xf>
    <xf numFmtId="0" fontId="13" fillId="0" borderId="29" xfId="143" applyFont="1" applyFill="1" applyBorder="1" applyAlignment="1">
      <alignment horizontal="center" wrapText="1"/>
      <protection/>
    </xf>
    <xf numFmtId="0" fontId="13" fillId="0" borderId="69" xfId="143" applyFont="1" applyFill="1" applyBorder="1" applyAlignment="1">
      <alignment wrapText="1"/>
      <protection/>
    </xf>
    <xf numFmtId="2" fontId="64" fillId="0" borderId="69" xfId="97" applyNumberFormat="1" applyFont="1" applyBorder="1" applyAlignment="1">
      <alignment horizontal="center"/>
    </xf>
    <xf numFmtId="2" fontId="64" fillId="0" borderId="76" xfId="97" applyNumberFormat="1" applyFont="1" applyBorder="1" applyAlignment="1">
      <alignment horizontal="center"/>
    </xf>
    <xf numFmtId="0" fontId="63" fillId="0" borderId="0" xfId="142" applyFont="1">
      <alignment/>
      <protection/>
    </xf>
    <xf numFmtId="0" fontId="13" fillId="0" borderId="69" xfId="143" applyFont="1" applyFill="1" applyBorder="1" applyAlignment="1">
      <alignment horizontal="center" wrapText="1"/>
      <protection/>
    </xf>
    <xf numFmtId="0" fontId="0" fillId="0" borderId="24" xfId="0" applyBorder="1" applyAlignment="1">
      <alignment/>
    </xf>
    <xf numFmtId="0" fontId="13" fillId="0" borderId="29" xfId="143" applyFont="1" applyFill="1" applyBorder="1" applyAlignment="1" quotePrefix="1">
      <alignment horizontal="center" wrapText="1"/>
      <protection/>
    </xf>
    <xf numFmtId="0" fontId="13" fillId="0" borderId="69" xfId="143" applyFont="1" applyFill="1" applyBorder="1" applyAlignment="1" quotePrefix="1">
      <alignment horizontal="center" wrapText="1"/>
      <protection/>
    </xf>
    <xf numFmtId="0" fontId="13" fillId="0" borderId="0" xfId="143" applyFont="1" applyFill="1" applyBorder="1" applyAlignment="1">
      <alignment horizontal="center" wrapText="1"/>
      <protection/>
    </xf>
    <xf numFmtId="0" fontId="13" fillId="0" borderId="0" xfId="143" applyFont="1" applyFill="1" applyBorder="1" applyAlignment="1">
      <alignment wrapText="1"/>
      <protection/>
    </xf>
    <xf numFmtId="2" fontId="64" fillId="0" borderId="0" xfId="97" applyNumberFormat="1" applyFont="1" applyBorder="1" applyAlignment="1">
      <alignment horizontal="center"/>
    </xf>
    <xf numFmtId="0" fontId="63" fillId="0" borderId="0" xfId="142" applyFont="1" applyAlignment="1">
      <alignment horizontal="center"/>
      <protection/>
    </xf>
    <xf numFmtId="165" fontId="63" fillId="0" borderId="0" xfId="86" applyNumberFormat="1" applyFont="1" applyAlignment="1">
      <alignment/>
    </xf>
    <xf numFmtId="167" fontId="12" fillId="0" borderId="0" xfId="142" applyNumberFormat="1" applyFont="1" applyAlignment="1">
      <alignment horizontal="left"/>
      <protection/>
    </xf>
    <xf numFmtId="0" fontId="13" fillId="0" borderId="0" xfId="142" applyFont="1">
      <alignment/>
      <protection/>
    </xf>
    <xf numFmtId="165" fontId="13" fillId="0" borderId="0" xfId="86" applyNumberFormat="1" applyFont="1" applyAlignment="1">
      <alignment/>
    </xf>
    <xf numFmtId="0" fontId="69" fillId="0" borderId="0" xfId="141" applyFont="1">
      <alignment/>
      <protection/>
    </xf>
    <xf numFmtId="0" fontId="70" fillId="0" borderId="0" xfId="142" applyFont="1">
      <alignment/>
      <protection/>
    </xf>
    <xf numFmtId="0" fontId="12" fillId="0" borderId="0" xfId="142" applyFont="1">
      <alignment/>
      <protection/>
    </xf>
    <xf numFmtId="0" fontId="18" fillId="0" borderId="14" xfId="0" applyFont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206" fontId="9" fillId="0" borderId="50" xfId="81" applyNumberFormat="1" applyFont="1" applyFill="1" applyBorder="1" applyAlignment="1">
      <alignment horizontal="right" vertical="center"/>
    </xf>
    <xf numFmtId="206" fontId="9" fillId="0" borderId="50" xfId="0" applyNumberFormat="1" applyFont="1" applyFill="1" applyBorder="1" applyAlignment="1">
      <alignment horizontal="right" vertical="center"/>
    </xf>
    <xf numFmtId="3" fontId="9" fillId="0" borderId="58" xfId="0" applyNumberFormat="1" applyFont="1" applyFill="1" applyBorder="1" applyAlignment="1">
      <alignment horizontal="right"/>
    </xf>
    <xf numFmtId="206" fontId="0" fillId="0" borderId="14" xfId="81" applyNumberFormat="1" applyFont="1" applyFill="1" applyBorder="1" applyAlignment="1">
      <alignment horizontal="center" vertical="center"/>
    </xf>
    <xf numFmtId="206" fontId="23" fillId="0" borderId="20" xfId="81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13" fillId="0" borderId="0" xfId="128" applyFont="1" applyAlignment="1">
      <alignment horizontal="left" vertical="top" wrapText="1"/>
      <protection/>
    </xf>
    <xf numFmtId="0" fontId="59" fillId="0" borderId="0" xfId="128" applyFont="1" applyBorder="1" applyAlignment="1">
      <alignment horizontal="center"/>
      <protection/>
    </xf>
    <xf numFmtId="0" fontId="11" fillId="0" borderId="65" xfId="128" applyFont="1" applyBorder="1" applyAlignment="1">
      <alignment horizontal="center" wrapText="1"/>
      <protection/>
    </xf>
    <xf numFmtId="0" fontId="56" fillId="0" borderId="74" xfId="128" applyFont="1" applyBorder="1" applyAlignment="1">
      <alignment horizontal="center" wrapText="1"/>
      <protection/>
    </xf>
    <xf numFmtId="0" fontId="54" fillId="0" borderId="0" xfId="128" applyFont="1" applyAlignment="1">
      <alignment horizontal="left" vertical="top" wrapText="1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130" applyFont="1" applyBorder="1" applyAlignment="1">
      <alignment horizontal="center" vertical="center"/>
      <protection/>
    </xf>
    <xf numFmtId="49" fontId="25" fillId="0" borderId="0" xfId="130" applyNumberFormat="1" applyFont="1" applyFill="1" applyBorder="1" applyAlignment="1">
      <alignment wrapText="1"/>
      <protection/>
    </xf>
    <xf numFmtId="0" fontId="66" fillId="0" borderId="0" xfId="142" applyFont="1" applyBorder="1" applyAlignment="1">
      <alignment horizontal="center"/>
      <protection/>
    </xf>
    <xf numFmtId="0" fontId="68" fillId="0" borderId="0" xfId="142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</cellXfs>
  <cellStyles count="14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3" xfId="85"/>
    <cellStyle name="Comma 3 2" xfId="86"/>
    <cellStyle name="Comma 3 3" xfId="87"/>
    <cellStyle name="Comma 4" xfId="88"/>
    <cellStyle name="Comma 4 2" xfId="89"/>
    <cellStyle name="Comma 4 3" xfId="90"/>
    <cellStyle name="Comma 5" xfId="91"/>
    <cellStyle name="Comma 6" xfId="92"/>
    <cellStyle name="Comma 7" xfId="93"/>
    <cellStyle name="Currency" xfId="94"/>
    <cellStyle name="Currency [0]" xfId="95"/>
    <cellStyle name="Currency 2" xfId="96"/>
    <cellStyle name="Currency 3" xfId="97"/>
    <cellStyle name="Currency 4" xfId="98"/>
    <cellStyle name="Currency 4 2" xfId="99"/>
    <cellStyle name="Currency 5" xfId="100"/>
    <cellStyle name="Explanatory Text" xfId="101"/>
    <cellStyle name="Explanatory Text 2" xfId="102"/>
    <cellStyle name="Followed Hyperlink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" xfId="114"/>
    <cellStyle name="Input" xfId="115"/>
    <cellStyle name="Input 2" xfId="116"/>
    <cellStyle name="Linked Cell" xfId="117"/>
    <cellStyle name="Linked Cell 2" xfId="118"/>
    <cellStyle name="Neutral" xfId="119"/>
    <cellStyle name="Neutral 2" xfId="120"/>
    <cellStyle name="Normal 10" xfId="121"/>
    <cellStyle name="Normal 11" xfId="122"/>
    <cellStyle name="Normal 12" xfId="123"/>
    <cellStyle name="Normal 13" xfId="124"/>
    <cellStyle name="Normal 14" xfId="125"/>
    <cellStyle name="Normal 15" xfId="126"/>
    <cellStyle name="Normal 2" xfId="127"/>
    <cellStyle name="Normal 2 2" xfId="128"/>
    <cellStyle name="Normal 3" xfId="129"/>
    <cellStyle name="Normal 3 2" xfId="130"/>
    <cellStyle name="Normal 4" xfId="131"/>
    <cellStyle name="Normal 4 2" xfId="132"/>
    <cellStyle name="Normal 4 2 2" xfId="133"/>
    <cellStyle name="Normal 5" xfId="134"/>
    <cellStyle name="Normal 5 2" xfId="135"/>
    <cellStyle name="Normal 5 3" xfId="136"/>
    <cellStyle name="Normal 6" xfId="137"/>
    <cellStyle name="Normal 7" xfId="138"/>
    <cellStyle name="Normal 8" xfId="139"/>
    <cellStyle name="Normal 9" xfId="140"/>
    <cellStyle name="Normal 9 2" xfId="141"/>
    <cellStyle name="Normal_ep_loss_reserves_06_rev5_16" xfId="142"/>
    <cellStyle name="Normal_Sheet1" xfId="143"/>
    <cellStyle name="Normal_Tbl_2004LossRSVratios" xfId="144"/>
    <cellStyle name="Note" xfId="145"/>
    <cellStyle name="Note 2" xfId="146"/>
    <cellStyle name="Note 3" xfId="147"/>
    <cellStyle name="Output" xfId="148"/>
    <cellStyle name="Output 2" xfId="149"/>
    <cellStyle name="Percent" xfId="150"/>
    <cellStyle name="Percent 2" xfId="151"/>
    <cellStyle name="Percent 3" xfId="152"/>
    <cellStyle name="Percent 3 2" xfId="153"/>
    <cellStyle name="Percent 4" xfId="154"/>
    <cellStyle name="Percent 5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4" width="20.7109375" style="0" customWidth="1"/>
    <col min="5" max="5" width="15.281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sheetProtection/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zoomScalePageLayoutView="0" workbookViewId="0" topLeftCell="A1">
      <selection activeCell="D2" sqref="D2"/>
    </sheetView>
  </sheetViews>
  <sheetFormatPr defaultColWidth="9.281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zoomScalePageLayoutView="0" workbookViewId="0" topLeftCell="A1">
      <selection activeCell="A1" sqref="A1"/>
    </sheetView>
  </sheetViews>
  <sheetFormatPr defaultColWidth="9.28125" defaultRowHeight="12.75"/>
  <cols>
    <col min="1" max="4" width="14.00390625" style="4" customWidth="1"/>
    <col min="5" max="16384" width="9.281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zoomScalePageLayoutView="0" workbookViewId="0" topLeftCell="A1">
      <selection activeCell="C1" sqref="C1"/>
    </sheetView>
  </sheetViews>
  <sheetFormatPr defaultColWidth="9.28125" defaultRowHeight="12.75"/>
  <cols>
    <col min="1" max="10" width="14.00390625" style="4" customWidth="1"/>
    <col min="11" max="16384" width="9.281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2.8515625" style="358" customWidth="1"/>
    <col min="2" max="2" width="31.57421875" style="359" customWidth="1"/>
    <col min="3" max="3" width="20.7109375" style="360" customWidth="1"/>
    <col min="4" max="4" width="18.57421875" style="361" customWidth="1"/>
    <col min="5" max="6" width="18.57421875" style="359" customWidth="1"/>
    <col min="7" max="7" width="11.7109375" style="359" customWidth="1"/>
    <col min="8" max="8" width="4.8515625" style="362" hidden="1" customWidth="1"/>
    <col min="9" max="9" width="35.57421875" style="340" hidden="1" customWidth="1"/>
    <col min="10" max="11" width="11.28125" style="340" hidden="1" customWidth="1"/>
    <col min="12" max="12" width="4.8515625" style="359" hidden="1" customWidth="1"/>
    <col min="13" max="13" width="9.140625" style="359" hidden="1" customWidth="1"/>
    <col min="14" max="14" width="3.421875" style="367" customWidth="1"/>
    <col min="15" max="16384" width="9.140625" style="359" customWidth="1"/>
  </cols>
  <sheetData>
    <row r="1" spans="1:14" s="312" customFormat="1" ht="18" customHeight="1">
      <c r="A1" s="457" t="s">
        <v>208</v>
      </c>
      <c r="B1" s="457"/>
      <c r="C1" s="457"/>
      <c r="D1" s="457"/>
      <c r="E1" s="457"/>
      <c r="F1" s="457"/>
      <c r="G1" s="457"/>
      <c r="H1" s="310"/>
      <c r="I1" s="311"/>
      <c r="J1" s="311"/>
      <c r="K1" s="311"/>
      <c r="N1" s="364"/>
    </row>
    <row r="2" spans="1:14" s="312" customFormat="1" ht="21.75" customHeight="1">
      <c r="A2" s="458" t="s">
        <v>209</v>
      </c>
      <c r="B2" s="458"/>
      <c r="C2" s="458"/>
      <c r="D2" s="458"/>
      <c r="E2" s="458"/>
      <c r="F2" s="458"/>
      <c r="G2" s="458"/>
      <c r="H2" s="314"/>
      <c r="I2" s="311"/>
      <c r="J2" s="311"/>
      <c r="K2" s="311"/>
      <c r="N2" s="364"/>
    </row>
    <row r="3" spans="1:14" s="312" customFormat="1" ht="21.75" customHeight="1">
      <c r="A3" s="313"/>
      <c r="B3" s="313"/>
      <c r="C3" s="313"/>
      <c r="D3" s="313"/>
      <c r="E3" s="313"/>
      <c r="F3" s="313"/>
      <c r="G3" s="313"/>
      <c r="H3" s="314"/>
      <c r="I3" s="311"/>
      <c r="J3" s="311"/>
      <c r="K3" s="311"/>
      <c r="N3" s="364"/>
    </row>
    <row r="4" spans="1:14" s="312" customFormat="1" ht="16.5" customHeight="1" thickBot="1">
      <c r="A4" s="309"/>
      <c r="B4" s="309"/>
      <c r="C4" s="315"/>
      <c r="D4" s="315"/>
      <c r="E4" s="316"/>
      <c r="F4" s="309"/>
      <c r="G4" s="309"/>
      <c r="H4" s="310"/>
      <c r="I4" s="311"/>
      <c r="J4" s="311"/>
      <c r="K4" s="311"/>
      <c r="N4" s="364"/>
    </row>
    <row r="5" spans="1:14" s="324" customFormat="1" ht="15" customHeight="1">
      <c r="A5" s="317"/>
      <c r="B5" s="318"/>
      <c r="C5" s="319" t="s">
        <v>210</v>
      </c>
      <c r="D5" s="320" t="s">
        <v>211</v>
      </c>
      <c r="E5" s="320" t="s">
        <v>212</v>
      </c>
      <c r="F5" s="321" t="s">
        <v>213</v>
      </c>
      <c r="G5" s="322" t="s">
        <v>214</v>
      </c>
      <c r="H5" s="323"/>
      <c r="I5"/>
      <c r="J5"/>
      <c r="K5"/>
      <c r="N5" s="365"/>
    </row>
    <row r="6" spans="1:14" s="333" customFormat="1" ht="15" customHeight="1" thickBot="1">
      <c r="A6" s="325" t="s">
        <v>215</v>
      </c>
      <c r="B6" s="326" t="s">
        <v>0</v>
      </c>
      <c r="C6" s="327" t="s">
        <v>216</v>
      </c>
      <c r="D6" s="328" t="s">
        <v>217</v>
      </c>
      <c r="E6" s="328" t="s">
        <v>217</v>
      </c>
      <c r="F6" s="329" t="s">
        <v>217</v>
      </c>
      <c r="G6" s="330" t="s">
        <v>15</v>
      </c>
      <c r="H6" s="331" t="s">
        <v>218</v>
      </c>
      <c r="I6" s="332"/>
      <c r="J6" s="332"/>
      <c r="K6" s="332"/>
      <c r="M6" s="334" t="s">
        <v>219</v>
      </c>
      <c r="N6" s="366"/>
    </row>
    <row r="7" spans="1:14" s="341" customFormat="1" ht="13.5" customHeight="1">
      <c r="A7" s="335" t="s">
        <v>76</v>
      </c>
      <c r="B7" s="336" t="s">
        <v>41</v>
      </c>
      <c r="C7" s="337">
        <v>2309620639</v>
      </c>
      <c r="D7" s="337">
        <v>1316694366</v>
      </c>
      <c r="E7" s="337">
        <v>1087988463</v>
      </c>
      <c r="F7" s="337">
        <f aca="true" t="shared" si="0" ref="F7:F32">(D7+E7)/2</f>
        <v>1202341414.5</v>
      </c>
      <c r="G7" s="338">
        <f>F7/C7</f>
        <v>0.5205796112995335</v>
      </c>
      <c r="H7" s="339"/>
      <c r="I7" s="340"/>
      <c r="J7" s="340"/>
      <c r="K7" s="340"/>
      <c r="M7" s="342" t="s">
        <v>161</v>
      </c>
      <c r="N7" s="367"/>
    </row>
    <row r="8" spans="1:14" s="341" customFormat="1" ht="13.5" customHeight="1">
      <c r="A8" s="343" t="s">
        <v>77</v>
      </c>
      <c r="B8" s="336" t="s">
        <v>42</v>
      </c>
      <c r="C8" s="337">
        <v>1381365151</v>
      </c>
      <c r="D8" s="337">
        <v>744117121</v>
      </c>
      <c r="E8" s="337">
        <v>647570523</v>
      </c>
      <c r="F8" s="337">
        <f t="shared" si="0"/>
        <v>695843822</v>
      </c>
      <c r="G8" s="338">
        <f aca="true" t="shared" si="1" ref="G8:G32">F8/C8</f>
        <v>0.5037363375616242</v>
      </c>
      <c r="H8" s="339"/>
      <c r="I8" s="340"/>
      <c r="J8" s="340"/>
      <c r="K8" s="340"/>
      <c r="M8" s="342" t="s">
        <v>161</v>
      </c>
      <c r="N8" s="367"/>
    </row>
    <row r="9" spans="1:14" s="341" customFormat="1" ht="13.5" customHeight="1" hidden="1">
      <c r="A9" s="343" t="s">
        <v>178</v>
      </c>
      <c r="B9" s="336" t="s">
        <v>119</v>
      </c>
      <c r="C9" s="337">
        <v>670829788</v>
      </c>
      <c r="D9" s="337">
        <v>132124825</v>
      </c>
      <c r="E9" s="337">
        <v>170556250</v>
      </c>
      <c r="F9" s="337">
        <f t="shared" si="0"/>
        <v>151340537.5</v>
      </c>
      <c r="G9" s="338">
        <f t="shared" si="1"/>
        <v>0.22560199354176563</v>
      </c>
      <c r="H9" s="339"/>
      <c r="I9" s="340"/>
      <c r="J9" s="340"/>
      <c r="K9" s="340"/>
      <c r="M9" s="342"/>
      <c r="N9" s="367"/>
    </row>
    <row r="10" spans="1:14" s="341" customFormat="1" ht="13.5" customHeight="1" hidden="1">
      <c r="A10" s="343" t="s">
        <v>179</v>
      </c>
      <c r="B10" s="336" t="s">
        <v>120</v>
      </c>
      <c r="C10" s="337">
        <v>135229800</v>
      </c>
      <c r="D10" s="337">
        <v>65574296</v>
      </c>
      <c r="E10" s="337">
        <v>78856900</v>
      </c>
      <c r="F10" s="337">
        <f t="shared" si="0"/>
        <v>72215598</v>
      </c>
      <c r="G10" s="338">
        <f t="shared" si="1"/>
        <v>0.5340213325761037</v>
      </c>
      <c r="H10" s="339"/>
      <c r="I10" s="340"/>
      <c r="J10" s="340"/>
      <c r="K10" s="340"/>
      <c r="M10" s="342"/>
      <c r="N10" s="367"/>
    </row>
    <row r="11" spans="1:14" s="341" customFormat="1" ht="13.5" customHeight="1">
      <c r="A11" s="343" t="s">
        <v>180</v>
      </c>
      <c r="B11" s="336" t="s">
        <v>181</v>
      </c>
      <c r="C11" s="337">
        <v>12612899</v>
      </c>
      <c r="D11" s="337">
        <v>1047024</v>
      </c>
      <c r="E11" s="337">
        <v>-63326</v>
      </c>
      <c r="F11" s="337">
        <f>(D11+E11)/2</f>
        <v>491849</v>
      </c>
      <c r="G11" s="338">
        <f>F11/C11</f>
        <v>0.03899571383232356</v>
      </c>
      <c r="H11" s="339"/>
      <c r="I11" s="340"/>
      <c r="J11" s="340"/>
      <c r="K11" s="340"/>
      <c r="M11" s="342" t="s">
        <v>161</v>
      </c>
      <c r="N11" s="367"/>
    </row>
    <row r="12" spans="1:14" s="341" customFormat="1" ht="13.5" customHeight="1">
      <c r="A12" s="343" t="s">
        <v>185</v>
      </c>
      <c r="B12" s="336" t="s">
        <v>186</v>
      </c>
      <c r="C12" s="337">
        <v>105489701</v>
      </c>
      <c r="D12" s="337">
        <v>56588724</v>
      </c>
      <c r="E12" s="337">
        <v>48516179</v>
      </c>
      <c r="F12" s="337">
        <f>(D12+E12)/2</f>
        <v>52552451.5</v>
      </c>
      <c r="G12" s="338">
        <f>F12/C12</f>
        <v>0.4981761347489268</v>
      </c>
      <c r="H12" s="339"/>
      <c r="I12" s="340"/>
      <c r="J12" s="340"/>
      <c r="K12" s="340"/>
      <c r="M12" s="342" t="s">
        <v>161</v>
      </c>
      <c r="N12" s="367"/>
    </row>
    <row r="13" spans="1:14" s="341" customFormat="1" ht="13.5" customHeight="1">
      <c r="A13" s="344" t="s">
        <v>78</v>
      </c>
      <c r="B13" s="336" t="s">
        <v>43</v>
      </c>
      <c r="C13" s="337">
        <v>225856242</v>
      </c>
      <c r="D13" s="337">
        <v>107546817</v>
      </c>
      <c r="E13" s="337">
        <v>105124020</v>
      </c>
      <c r="F13" s="337">
        <f t="shared" si="0"/>
        <v>106335418.5</v>
      </c>
      <c r="G13" s="338">
        <f t="shared" si="1"/>
        <v>0.4708101824345417</v>
      </c>
      <c r="H13" s="339"/>
      <c r="I13" s="340"/>
      <c r="J13" s="340"/>
      <c r="K13" s="340"/>
      <c r="M13" s="342" t="s">
        <v>161</v>
      </c>
      <c r="N13" s="367"/>
    </row>
    <row r="14" spans="1:14" s="341" customFormat="1" ht="13.5" customHeight="1">
      <c r="A14" s="345" t="s">
        <v>79</v>
      </c>
      <c r="B14" s="336" t="s">
        <v>44</v>
      </c>
      <c r="C14" s="337">
        <v>11825323203</v>
      </c>
      <c r="D14" s="337">
        <v>6443382370</v>
      </c>
      <c r="E14" s="337">
        <v>5812275133</v>
      </c>
      <c r="F14" s="337">
        <f t="shared" si="0"/>
        <v>6127828751.5</v>
      </c>
      <c r="G14" s="338">
        <f t="shared" si="1"/>
        <v>0.5181954561669329</v>
      </c>
      <c r="H14" s="339"/>
      <c r="I14" s="340"/>
      <c r="J14" s="340"/>
      <c r="K14" s="340"/>
      <c r="M14" s="342" t="s">
        <v>161</v>
      </c>
      <c r="N14" s="367"/>
    </row>
    <row r="15" spans="1:14" s="341" customFormat="1" ht="13.5" customHeight="1">
      <c r="A15" s="345" t="s">
        <v>142</v>
      </c>
      <c r="B15" s="336" t="s">
        <v>141</v>
      </c>
      <c r="C15" s="363">
        <f>+C16+C17</f>
        <v>6297779645</v>
      </c>
      <c r="D15" s="363">
        <f>+D16+D17</f>
        <v>3141278736</v>
      </c>
      <c r="E15" s="363">
        <f>+E16+E17</f>
        <v>2898633991</v>
      </c>
      <c r="F15" s="337">
        <f t="shared" si="0"/>
        <v>3019956363.5</v>
      </c>
      <c r="G15" s="338">
        <f t="shared" si="1"/>
        <v>0.4795271561934746</v>
      </c>
      <c r="H15" s="347" t="s">
        <v>161</v>
      </c>
      <c r="I15" s="340"/>
      <c r="J15" s="340"/>
      <c r="K15" s="340"/>
      <c r="M15" s="342" t="s">
        <v>161</v>
      </c>
      <c r="N15" s="367"/>
    </row>
    <row r="16" spans="1:14" s="341" customFormat="1" ht="13.5" customHeight="1">
      <c r="A16" s="345" t="s">
        <v>80</v>
      </c>
      <c r="B16" s="336" t="s">
        <v>45</v>
      </c>
      <c r="C16" s="363">
        <v>4020619417</v>
      </c>
      <c r="D16" s="363">
        <v>2032418975</v>
      </c>
      <c r="E16" s="363">
        <v>1860222844</v>
      </c>
      <c r="F16" s="337">
        <f t="shared" si="0"/>
        <v>1946320909.5</v>
      </c>
      <c r="G16" s="338">
        <f t="shared" si="1"/>
        <v>0.4840848405771901</v>
      </c>
      <c r="H16" s="339"/>
      <c r="I16" s="340"/>
      <c r="J16" s="340"/>
      <c r="K16" s="340"/>
      <c r="M16" s="342" t="s">
        <v>161</v>
      </c>
      <c r="N16" s="367"/>
    </row>
    <row r="17" spans="1:14" s="341" customFormat="1" ht="13.5" customHeight="1">
      <c r="A17" s="345" t="s">
        <v>81</v>
      </c>
      <c r="B17" s="336" t="s">
        <v>46</v>
      </c>
      <c r="C17" s="363">
        <v>2277160228</v>
      </c>
      <c r="D17" s="363">
        <v>1108859761</v>
      </c>
      <c r="E17" s="363">
        <v>1038411147</v>
      </c>
      <c r="F17" s="337">
        <f t="shared" si="0"/>
        <v>1073635454</v>
      </c>
      <c r="G17" s="338">
        <f t="shared" si="1"/>
        <v>0.47147997791220864</v>
      </c>
      <c r="H17" s="339"/>
      <c r="I17" s="340"/>
      <c r="J17" s="340"/>
      <c r="K17" s="340"/>
      <c r="M17" s="342" t="s">
        <v>161</v>
      </c>
      <c r="N17" s="367"/>
    </row>
    <row r="18" spans="1:14" s="341" customFormat="1" ht="13.5" customHeight="1" hidden="1">
      <c r="A18" s="345" t="s">
        <v>82</v>
      </c>
      <c r="B18" s="336" t="s">
        <v>47</v>
      </c>
      <c r="C18" s="363">
        <v>529748933</v>
      </c>
      <c r="D18" s="363">
        <v>107167024</v>
      </c>
      <c r="E18" s="363">
        <v>132538025</v>
      </c>
      <c r="F18" s="337">
        <f t="shared" si="0"/>
        <v>119852524.5</v>
      </c>
      <c r="G18" s="338">
        <f t="shared" si="1"/>
        <v>0.2262440130294703</v>
      </c>
      <c r="H18" s="339"/>
      <c r="I18" s="340"/>
      <c r="J18" s="340"/>
      <c r="K18" s="340"/>
      <c r="M18" s="342"/>
      <c r="N18" s="367"/>
    </row>
    <row r="19" spans="1:14" s="341" customFormat="1" ht="13.5" customHeight="1" hidden="1">
      <c r="A19" s="345" t="s">
        <v>83</v>
      </c>
      <c r="B19" s="336" t="s">
        <v>84</v>
      </c>
      <c r="C19" s="363">
        <v>469343476</v>
      </c>
      <c r="D19" s="363">
        <v>186057153</v>
      </c>
      <c r="E19" s="363">
        <v>170652176</v>
      </c>
      <c r="F19" s="337">
        <f t="shared" si="0"/>
        <v>178354664.5</v>
      </c>
      <c r="G19" s="338">
        <f t="shared" si="1"/>
        <v>0.38000882854500356</v>
      </c>
      <c r="H19" s="339"/>
      <c r="I19" s="340"/>
      <c r="J19" s="340"/>
      <c r="K19" s="340"/>
      <c r="M19" s="342"/>
      <c r="N19" s="367"/>
    </row>
    <row r="20" spans="1:14" s="341" customFormat="1" ht="13.5" customHeight="1">
      <c r="A20" s="345" t="s">
        <v>85</v>
      </c>
      <c r="B20" s="336" t="s">
        <v>48</v>
      </c>
      <c r="C20" s="363">
        <v>4026770467</v>
      </c>
      <c r="D20" s="363">
        <v>1255594475</v>
      </c>
      <c r="E20" s="363">
        <v>1073142951</v>
      </c>
      <c r="F20" s="337">
        <f t="shared" si="0"/>
        <v>1164368713</v>
      </c>
      <c r="G20" s="338">
        <f t="shared" si="1"/>
        <v>0.2891569615259126</v>
      </c>
      <c r="H20" s="339"/>
      <c r="I20" s="311" t="s">
        <v>220</v>
      </c>
      <c r="J20" s="311"/>
      <c r="K20" s="311"/>
      <c r="M20" s="342" t="s">
        <v>161</v>
      </c>
      <c r="N20" s="367"/>
    </row>
    <row r="21" spans="1:14" s="341" customFormat="1" ht="13.5" customHeight="1" hidden="1">
      <c r="A21" s="343">
        <v>10</v>
      </c>
      <c r="B21" s="336" t="s">
        <v>49</v>
      </c>
      <c r="C21" s="363">
        <v>47224313</v>
      </c>
      <c r="D21" s="363">
        <v>448349643</v>
      </c>
      <c r="E21" s="363">
        <v>431650020</v>
      </c>
      <c r="F21" s="337">
        <f t="shared" si="0"/>
        <v>439999831.5</v>
      </c>
      <c r="G21" s="338">
        <f t="shared" si="1"/>
        <v>9.31723096744679</v>
      </c>
      <c r="H21" s="339"/>
      <c r="I21" s="348" t="s">
        <v>221</v>
      </c>
      <c r="J21" s="348" t="s">
        <v>222</v>
      </c>
      <c r="K21" s="348" t="s">
        <v>223</v>
      </c>
      <c r="M21" s="342"/>
      <c r="N21" s="367"/>
    </row>
    <row r="22" spans="1:14" s="341" customFormat="1" ht="13.5" customHeight="1">
      <c r="A22" s="343">
        <v>11</v>
      </c>
      <c r="B22" s="336" t="s">
        <v>158</v>
      </c>
      <c r="C22" s="363">
        <f>+C23+C24</f>
        <v>953107572</v>
      </c>
      <c r="D22" s="363">
        <f>+D23+D24</f>
        <v>499477845</v>
      </c>
      <c r="E22" s="363">
        <v>471254902</v>
      </c>
      <c r="F22" s="337">
        <f t="shared" si="0"/>
        <v>485366373.5</v>
      </c>
      <c r="G22" s="338">
        <f t="shared" si="1"/>
        <v>0.5092461625097655</v>
      </c>
      <c r="H22" s="339"/>
      <c r="I22" s="348" t="s">
        <v>224</v>
      </c>
      <c r="J22" s="348" t="s">
        <v>225</v>
      </c>
      <c r="K22" s="348" t="s">
        <v>222</v>
      </c>
      <c r="M22" s="342" t="s">
        <v>161</v>
      </c>
      <c r="N22" s="367"/>
    </row>
    <row r="23" spans="1:14" s="341" customFormat="1" ht="13.5" customHeight="1">
      <c r="A23" s="343">
        <v>11.1</v>
      </c>
      <c r="B23" s="336" t="s">
        <v>226</v>
      </c>
      <c r="C23" s="363">
        <v>118213646</v>
      </c>
      <c r="D23" s="363">
        <v>163339493</v>
      </c>
      <c r="E23" s="363">
        <f>E22*(K23/(K23+K24))</f>
        <v>142097109.7257548</v>
      </c>
      <c r="F23" s="337">
        <f t="shared" si="0"/>
        <v>152718301.3628774</v>
      </c>
      <c r="G23" s="338">
        <f t="shared" si="1"/>
        <v>1.2918838605390566</v>
      </c>
      <c r="H23" s="347" t="s">
        <v>161</v>
      </c>
      <c r="I23" s="349">
        <v>2506038</v>
      </c>
      <c r="J23" s="350">
        <v>1470908</v>
      </c>
      <c r="K23" s="351">
        <v>1440553</v>
      </c>
      <c r="M23" s="342" t="s">
        <v>161</v>
      </c>
      <c r="N23" s="367" t="s">
        <v>161</v>
      </c>
    </row>
    <row r="24" spans="1:14" s="341" customFormat="1" ht="13.5" customHeight="1">
      <c r="A24" s="343">
        <v>11.2</v>
      </c>
      <c r="B24" s="336" t="s">
        <v>227</v>
      </c>
      <c r="C24" s="363">
        <v>834893926</v>
      </c>
      <c r="D24" s="363">
        <v>336138352</v>
      </c>
      <c r="E24" s="363">
        <f>E22-E23</f>
        <v>329157792.2742452</v>
      </c>
      <c r="F24" s="337">
        <f t="shared" si="0"/>
        <v>332648072.13712263</v>
      </c>
      <c r="G24" s="338">
        <f t="shared" si="1"/>
        <v>0.3984315393583575</v>
      </c>
      <c r="H24" s="347" t="s">
        <v>161</v>
      </c>
      <c r="I24" s="352">
        <v>7919795</v>
      </c>
      <c r="J24" s="353">
        <v>3520863</v>
      </c>
      <c r="K24" s="354">
        <v>3336938</v>
      </c>
      <c r="M24" s="342" t="s">
        <v>161</v>
      </c>
      <c r="N24" s="367" t="s">
        <v>161</v>
      </c>
    </row>
    <row r="25" spans="1:14" s="341" customFormat="1" ht="13.5" customHeight="1">
      <c r="A25" s="343">
        <v>12</v>
      </c>
      <c r="B25" s="336" t="s">
        <v>51</v>
      </c>
      <c r="C25" s="363">
        <v>2820862231</v>
      </c>
      <c r="D25" s="363">
        <v>1442526649</v>
      </c>
      <c r="E25" s="363">
        <v>1303625967</v>
      </c>
      <c r="F25" s="337">
        <f t="shared" si="0"/>
        <v>1373076308</v>
      </c>
      <c r="G25" s="338">
        <f t="shared" si="1"/>
        <v>0.4867576632812877</v>
      </c>
      <c r="H25" s="339"/>
      <c r="I25" s="340"/>
      <c r="J25" s="340"/>
      <c r="K25" s="340"/>
      <c r="M25" s="342" t="s">
        <v>161</v>
      </c>
      <c r="N25" s="367"/>
    </row>
    <row r="26" spans="1:14" s="341" customFormat="1" ht="13.5" customHeight="1" hidden="1">
      <c r="A26" s="343">
        <v>13</v>
      </c>
      <c r="B26" s="336" t="s">
        <v>121</v>
      </c>
      <c r="C26" s="363">
        <f>13299+261254222</f>
        <v>261267521</v>
      </c>
      <c r="D26" s="363">
        <f>6095+82376167</f>
        <v>82382262</v>
      </c>
      <c r="E26" s="363">
        <v>435800569</v>
      </c>
      <c r="F26" s="337">
        <f t="shared" si="0"/>
        <v>259091415.5</v>
      </c>
      <c r="G26" s="338">
        <f t="shared" si="1"/>
        <v>0.9916709681644662</v>
      </c>
      <c r="H26" s="339"/>
      <c r="I26" s="340"/>
      <c r="J26" s="340"/>
      <c r="K26" s="340"/>
      <c r="M26" s="342"/>
      <c r="N26" s="367"/>
    </row>
    <row r="27" spans="1:14" s="341" customFormat="1" ht="13.5" customHeight="1" hidden="1">
      <c r="A27" s="343">
        <v>14</v>
      </c>
      <c r="B27" s="336" t="s">
        <v>122</v>
      </c>
      <c r="C27" s="363">
        <v>16669</v>
      </c>
      <c r="D27" s="363">
        <v>4393</v>
      </c>
      <c r="E27" s="363">
        <v>7851</v>
      </c>
      <c r="F27" s="337">
        <f t="shared" si="0"/>
        <v>6122</v>
      </c>
      <c r="G27" s="338">
        <f t="shared" si="1"/>
        <v>0.3672685823984642</v>
      </c>
      <c r="H27" s="339"/>
      <c r="I27" s="340"/>
      <c r="J27" s="340"/>
      <c r="K27" s="340"/>
      <c r="M27" s="342"/>
      <c r="N27" s="367"/>
    </row>
    <row r="28" spans="1:14" s="341" customFormat="1" ht="13.5" customHeight="1" hidden="1">
      <c r="A28" s="343">
        <v>15.1</v>
      </c>
      <c r="B28" s="336" t="s">
        <v>123</v>
      </c>
      <c r="C28" s="363">
        <v>220288</v>
      </c>
      <c r="D28" s="363">
        <v>625</v>
      </c>
      <c r="E28" s="363">
        <v>5648</v>
      </c>
      <c r="F28" s="337">
        <f t="shared" si="0"/>
        <v>3136.5</v>
      </c>
      <c r="G28" s="338">
        <f t="shared" si="1"/>
        <v>0.014238179110981988</v>
      </c>
      <c r="H28" s="339"/>
      <c r="I28" s="340"/>
      <c r="J28" s="340"/>
      <c r="K28" s="340"/>
      <c r="M28" s="342"/>
      <c r="N28" s="367"/>
    </row>
    <row r="29" spans="1:14" s="341" customFormat="1" ht="13.5" customHeight="1" hidden="1">
      <c r="A29" s="343">
        <v>15.2</v>
      </c>
      <c r="B29" s="336" t="s">
        <v>128</v>
      </c>
      <c r="C29" s="363">
        <v>1419099</v>
      </c>
      <c r="D29" s="363">
        <v>1699</v>
      </c>
      <c r="E29" s="363">
        <v>52</v>
      </c>
      <c r="F29" s="337">
        <f t="shared" si="0"/>
        <v>875.5</v>
      </c>
      <c r="G29" s="338">
        <f t="shared" si="1"/>
        <v>0.0006169407490245572</v>
      </c>
      <c r="H29" s="339"/>
      <c r="I29" s="340"/>
      <c r="J29" s="340"/>
      <c r="K29" s="340"/>
      <c r="M29" s="342"/>
      <c r="N29" s="367"/>
    </row>
    <row r="30" spans="1:14" s="341" customFormat="1" ht="13.5" customHeight="1" hidden="1">
      <c r="A30" s="343">
        <v>15.3</v>
      </c>
      <c r="B30" s="336" t="s">
        <v>129</v>
      </c>
      <c r="C30" s="363">
        <v>6968376</v>
      </c>
      <c r="D30" s="363">
        <v>2014782</v>
      </c>
      <c r="E30" s="363">
        <v>731133174</v>
      </c>
      <c r="F30" s="337">
        <f t="shared" si="0"/>
        <v>366573978</v>
      </c>
      <c r="G30" s="338">
        <f t="shared" si="1"/>
        <v>52.6053671615883</v>
      </c>
      <c r="H30" s="339"/>
      <c r="I30" s="340"/>
      <c r="J30" s="340"/>
      <c r="K30" s="340"/>
      <c r="M30" s="342"/>
      <c r="N30" s="367"/>
    </row>
    <row r="31" spans="1:14" s="341" customFormat="1" ht="13.5" customHeight="1" hidden="1">
      <c r="A31" s="343">
        <v>15.4</v>
      </c>
      <c r="B31" s="336" t="s">
        <v>130</v>
      </c>
      <c r="C31" s="363">
        <v>18417296</v>
      </c>
      <c r="D31" s="363">
        <v>5063376</v>
      </c>
      <c r="E31" s="363">
        <v>1742386</v>
      </c>
      <c r="F31" s="337">
        <f t="shared" si="0"/>
        <v>3402881</v>
      </c>
      <c r="G31" s="338">
        <f t="shared" si="1"/>
        <v>0.18476550520771345</v>
      </c>
      <c r="H31" s="339"/>
      <c r="I31" s="340"/>
      <c r="J31" s="340"/>
      <c r="K31" s="340"/>
      <c r="M31" s="342"/>
      <c r="N31" s="367"/>
    </row>
    <row r="32" spans="1:14" s="341" customFormat="1" ht="13.5" customHeight="1" hidden="1">
      <c r="A32" s="343">
        <v>15.5</v>
      </c>
      <c r="B32" s="336" t="s">
        <v>131</v>
      </c>
      <c r="C32" s="363">
        <v>0</v>
      </c>
      <c r="D32" s="363">
        <v>0</v>
      </c>
      <c r="E32" s="363">
        <v>1579666</v>
      </c>
      <c r="F32" s="337">
        <f t="shared" si="0"/>
        <v>789833</v>
      </c>
      <c r="G32" s="338" t="e">
        <f t="shared" si="1"/>
        <v>#DIV/0!</v>
      </c>
      <c r="H32" s="339"/>
      <c r="I32" s="340"/>
      <c r="J32" s="340"/>
      <c r="K32" s="340"/>
      <c r="M32" s="342"/>
      <c r="N32" s="367"/>
    </row>
    <row r="33" spans="1:14" s="341" customFormat="1" ht="13.5" customHeight="1" hidden="1">
      <c r="A33" s="343">
        <v>15.6</v>
      </c>
      <c r="B33" s="336" t="s">
        <v>228</v>
      </c>
      <c r="C33" s="363">
        <v>0</v>
      </c>
      <c r="D33" s="363">
        <v>0</v>
      </c>
      <c r="E33" s="363">
        <v>0</v>
      </c>
      <c r="F33" s="337"/>
      <c r="G33" s="338">
        <f>IF(C33=0,0,+F33/C33)</f>
        <v>0</v>
      </c>
      <c r="H33" s="339"/>
      <c r="I33" s="340"/>
      <c r="J33" s="340"/>
      <c r="K33" s="340"/>
      <c r="M33" s="342"/>
      <c r="N33" s="367"/>
    </row>
    <row r="34" spans="1:14" s="341" customFormat="1" ht="13.5" customHeight="1" hidden="1">
      <c r="A34" s="343">
        <v>15.7</v>
      </c>
      <c r="B34" s="336" t="s">
        <v>132</v>
      </c>
      <c r="C34" s="363">
        <v>69277437</v>
      </c>
      <c r="D34" s="363">
        <v>19775805</v>
      </c>
      <c r="E34" s="363">
        <v>12891003</v>
      </c>
      <c r="F34" s="337">
        <f aca="true" t="shared" si="2" ref="F34:F59">(D34+E34)/2</f>
        <v>16333404</v>
      </c>
      <c r="G34" s="338">
        <f>F34/C34</f>
        <v>0.23576801780354548</v>
      </c>
      <c r="H34" s="339"/>
      <c r="I34" s="340"/>
      <c r="J34" s="340"/>
      <c r="K34" s="340"/>
      <c r="M34" s="342"/>
      <c r="N34" s="367"/>
    </row>
    <row r="35" spans="1:14" s="341" customFormat="1" ht="13.5" customHeight="1" hidden="1">
      <c r="A35" s="343">
        <v>15.8</v>
      </c>
      <c r="B35" s="336" t="s">
        <v>133</v>
      </c>
      <c r="C35" s="363">
        <v>0</v>
      </c>
      <c r="D35" s="363">
        <v>0</v>
      </c>
      <c r="E35" s="363">
        <v>0</v>
      </c>
      <c r="F35" s="337">
        <f t="shared" si="2"/>
        <v>0</v>
      </c>
      <c r="G35" s="338">
        <f>IF(C35=0,0,+F35/C35)</f>
        <v>0</v>
      </c>
      <c r="H35" s="339"/>
      <c r="I35" s="340"/>
      <c r="J35" s="340"/>
      <c r="K35" s="340"/>
      <c r="M35" s="342"/>
      <c r="N35" s="367"/>
    </row>
    <row r="36" spans="1:14" s="341" customFormat="1" ht="13.5" customHeight="1" hidden="1">
      <c r="A36" s="343">
        <v>16</v>
      </c>
      <c r="B36" s="336" t="s">
        <v>229</v>
      </c>
      <c r="C36" s="363">
        <v>11354409676</v>
      </c>
      <c r="D36" s="363">
        <v>3640094077</v>
      </c>
      <c r="E36" s="363">
        <v>3345462793</v>
      </c>
      <c r="F36" s="337">
        <f t="shared" si="2"/>
        <v>3492778435</v>
      </c>
      <c r="G36" s="338">
        <f aca="true" t="shared" si="3" ref="G36:G62">F36/C36</f>
        <v>0.30761426922816976</v>
      </c>
      <c r="H36" s="339"/>
      <c r="I36" s="340"/>
      <c r="J36" s="340"/>
      <c r="K36" s="340"/>
      <c r="M36" s="342"/>
      <c r="N36" s="367"/>
    </row>
    <row r="37" spans="1:14" s="341" customFormat="1" ht="13.5" customHeight="1">
      <c r="A37" s="343">
        <v>17</v>
      </c>
      <c r="B37" s="336" t="s">
        <v>52</v>
      </c>
      <c r="C37" s="363">
        <f>+C38+C39</f>
        <v>15792734593</v>
      </c>
      <c r="D37" s="363">
        <f>+D38+D39</f>
        <v>9059362341</v>
      </c>
      <c r="E37" s="363">
        <f>+E38+E39</f>
        <v>8815356746</v>
      </c>
      <c r="F37" s="337">
        <f t="shared" si="2"/>
        <v>8937359543.5</v>
      </c>
      <c r="G37" s="338">
        <f t="shared" si="3"/>
        <v>0.5659158957474921</v>
      </c>
      <c r="H37" s="347" t="s">
        <v>161</v>
      </c>
      <c r="M37" s="342" t="s">
        <v>161</v>
      </c>
      <c r="N37" s="367"/>
    </row>
    <row r="38" spans="1:14" s="341" customFormat="1" ht="13.5" customHeight="1">
      <c r="A38" s="343">
        <v>17.1</v>
      </c>
      <c r="B38" s="336" t="s">
        <v>230</v>
      </c>
      <c r="C38" s="363">
        <v>7956228988</v>
      </c>
      <c r="D38" s="363">
        <v>4474632786</v>
      </c>
      <c r="E38" s="363">
        <v>4055433374</v>
      </c>
      <c r="F38" s="337">
        <f t="shared" si="2"/>
        <v>4265033080</v>
      </c>
      <c r="G38" s="338">
        <f t="shared" si="3"/>
        <v>0.5360621327556994</v>
      </c>
      <c r="H38" s="339"/>
      <c r="I38" s="340"/>
      <c r="J38" s="340"/>
      <c r="K38" s="340"/>
      <c r="M38" s="342" t="s">
        <v>161</v>
      </c>
      <c r="N38" s="367"/>
    </row>
    <row r="39" spans="1:14" s="341" customFormat="1" ht="13.5" customHeight="1">
      <c r="A39" s="343">
        <v>17.2</v>
      </c>
      <c r="B39" s="336" t="s">
        <v>231</v>
      </c>
      <c r="C39" s="363">
        <v>7836505605</v>
      </c>
      <c r="D39" s="363">
        <v>4584729555</v>
      </c>
      <c r="E39" s="363">
        <v>4759923372</v>
      </c>
      <c r="F39" s="337">
        <f t="shared" si="2"/>
        <v>4672326463.5</v>
      </c>
      <c r="G39" s="338">
        <f t="shared" si="3"/>
        <v>0.5962257540553371</v>
      </c>
      <c r="H39" s="339"/>
      <c r="I39" s="340"/>
      <c r="J39" s="340"/>
      <c r="K39" s="340"/>
      <c r="M39" s="342" t="s">
        <v>161</v>
      </c>
      <c r="N39" s="367"/>
    </row>
    <row r="40" spans="1:14" s="341" customFormat="1" ht="13.5" customHeight="1" hidden="1">
      <c r="A40" s="343">
        <v>17.3</v>
      </c>
      <c r="B40" s="336" t="s">
        <v>182</v>
      </c>
      <c r="C40" s="363">
        <v>231433777</v>
      </c>
      <c r="D40" s="363">
        <v>88798419</v>
      </c>
      <c r="E40" s="363">
        <v>86252672</v>
      </c>
      <c r="F40" s="337">
        <f t="shared" si="2"/>
        <v>87525545.5</v>
      </c>
      <c r="G40" s="338">
        <f t="shared" si="3"/>
        <v>0.37818829487452044</v>
      </c>
      <c r="H40" s="339"/>
      <c r="M40" s="342"/>
      <c r="N40" s="367"/>
    </row>
    <row r="41" spans="1:14" s="341" customFormat="1" ht="13.5" customHeight="1">
      <c r="A41" s="343">
        <v>18</v>
      </c>
      <c r="B41" s="336" t="s">
        <v>53</v>
      </c>
      <c r="C41" s="363">
        <f>+C42+C43</f>
        <v>702555490</v>
      </c>
      <c r="D41" s="363">
        <f>+D42+D43</f>
        <v>335464581</v>
      </c>
      <c r="E41" s="363">
        <v>337190432</v>
      </c>
      <c r="F41" s="337">
        <f t="shared" si="2"/>
        <v>336327506.5</v>
      </c>
      <c r="G41" s="338">
        <f t="shared" si="3"/>
        <v>0.47872020258499437</v>
      </c>
      <c r="H41" s="339"/>
      <c r="I41" s="348" t="s">
        <v>224</v>
      </c>
      <c r="J41" s="348" t="s">
        <v>225</v>
      </c>
      <c r="K41" s="348" t="s">
        <v>222</v>
      </c>
      <c r="M41" s="342" t="s">
        <v>161</v>
      </c>
      <c r="N41" s="367"/>
    </row>
    <row r="42" spans="1:14" s="341" customFormat="1" ht="13.5" customHeight="1">
      <c r="A42" s="343">
        <v>18.1</v>
      </c>
      <c r="B42" s="336" t="s">
        <v>232</v>
      </c>
      <c r="C42" s="363">
        <v>521584637</v>
      </c>
      <c r="D42" s="363">
        <v>251770062</v>
      </c>
      <c r="E42" s="363">
        <f>E41*(K42/(K42+K43))</f>
        <v>277027104.2496532</v>
      </c>
      <c r="F42" s="337">
        <f t="shared" si="2"/>
        <v>264398583.1248266</v>
      </c>
      <c r="G42" s="338">
        <f t="shared" si="3"/>
        <v>0.5069140545349816</v>
      </c>
      <c r="H42" s="347" t="s">
        <v>161</v>
      </c>
      <c r="I42" s="349">
        <v>3408742</v>
      </c>
      <c r="J42" s="350">
        <v>1682608</v>
      </c>
      <c r="K42" s="351">
        <v>1466514</v>
      </c>
      <c r="M42" s="342" t="s">
        <v>161</v>
      </c>
      <c r="N42" s="367" t="s">
        <v>161</v>
      </c>
    </row>
    <row r="43" spans="1:14" s="341" customFormat="1" ht="13.5" customHeight="1">
      <c r="A43" s="343">
        <v>18.2</v>
      </c>
      <c r="B43" s="336" t="s">
        <v>233</v>
      </c>
      <c r="C43" s="363">
        <v>180970853</v>
      </c>
      <c r="D43" s="363">
        <v>83694519</v>
      </c>
      <c r="E43" s="363">
        <f>E41-E42</f>
        <v>60163327.75034678</v>
      </c>
      <c r="F43" s="337">
        <f t="shared" si="2"/>
        <v>71928923.37517339</v>
      </c>
      <c r="G43" s="338">
        <f t="shared" si="3"/>
        <v>0.39746137116993857</v>
      </c>
      <c r="H43" s="347" t="s">
        <v>161</v>
      </c>
      <c r="I43" s="352">
        <v>662206</v>
      </c>
      <c r="J43" s="353">
        <v>317612</v>
      </c>
      <c r="K43" s="354">
        <v>318490</v>
      </c>
      <c r="M43" s="342" t="s">
        <v>161</v>
      </c>
      <c r="N43" s="367" t="s">
        <v>161</v>
      </c>
    </row>
    <row r="44" spans="1:14" s="341" customFormat="1" ht="13.5" customHeight="1" hidden="1">
      <c r="A44" s="343">
        <v>19.1</v>
      </c>
      <c r="B44" s="336" t="s">
        <v>126</v>
      </c>
      <c r="C44" s="363">
        <v>3159666</v>
      </c>
      <c r="D44" s="363">
        <v>3902477</v>
      </c>
      <c r="E44" s="363">
        <v>721</v>
      </c>
      <c r="F44" s="337">
        <f t="shared" si="2"/>
        <v>1951599</v>
      </c>
      <c r="G44" s="338">
        <f t="shared" si="3"/>
        <v>0.6176599045595326</v>
      </c>
      <c r="H44" s="339"/>
      <c r="I44" s="340"/>
      <c r="J44" s="340"/>
      <c r="K44" s="340"/>
      <c r="M44" s="342"/>
      <c r="N44" s="367"/>
    </row>
    <row r="45" spans="1:14" s="341" customFormat="1" ht="13.5" customHeight="1">
      <c r="A45" s="343" t="s">
        <v>175</v>
      </c>
      <c r="B45" s="336" t="s">
        <v>154</v>
      </c>
      <c r="C45" s="363">
        <f>+C46+C50</f>
        <v>32397667712</v>
      </c>
      <c r="D45" s="363">
        <f>+D46+D50</f>
        <v>10588580542</v>
      </c>
      <c r="E45" s="363">
        <f>+E46+E50</f>
        <v>10279426040</v>
      </c>
      <c r="F45" s="337">
        <f t="shared" si="2"/>
        <v>10434003291</v>
      </c>
      <c r="G45" s="338">
        <f t="shared" si="3"/>
        <v>0.3220603218649371</v>
      </c>
      <c r="H45" s="347" t="s">
        <v>161</v>
      </c>
      <c r="I45"/>
      <c r="J45"/>
      <c r="K45"/>
      <c r="M45" s="342" t="s">
        <v>161</v>
      </c>
      <c r="N45" s="367"/>
    </row>
    <row r="46" spans="1:14" s="341" customFormat="1" ht="13.5" customHeight="1">
      <c r="A46" s="343">
        <v>19.2</v>
      </c>
      <c r="B46" s="336" t="s">
        <v>54</v>
      </c>
      <c r="C46" s="363">
        <v>17807486452</v>
      </c>
      <c r="D46" s="363">
        <v>5718621732</v>
      </c>
      <c r="E46" s="363">
        <v>5684549636</v>
      </c>
      <c r="F46" s="337">
        <f t="shared" si="2"/>
        <v>5701585684</v>
      </c>
      <c r="G46" s="338">
        <f t="shared" si="3"/>
        <v>0.32017913922712216</v>
      </c>
      <c r="H46" s="339"/>
      <c r="I46"/>
      <c r="J46"/>
      <c r="K46"/>
      <c r="M46" s="342" t="s">
        <v>161</v>
      </c>
      <c r="N46" s="367"/>
    </row>
    <row r="47" spans="1:14" s="341" customFormat="1" ht="13.5" customHeight="1" hidden="1">
      <c r="A47" s="343">
        <v>19.3</v>
      </c>
      <c r="B47" s="336" t="s">
        <v>234</v>
      </c>
      <c r="C47" s="363">
        <v>18356790</v>
      </c>
      <c r="D47" s="363">
        <v>17946985</v>
      </c>
      <c r="E47" s="363">
        <v>16874997</v>
      </c>
      <c r="F47" s="337">
        <f t="shared" si="2"/>
        <v>17410991</v>
      </c>
      <c r="G47" s="338">
        <f t="shared" si="3"/>
        <v>0.9484768851198929</v>
      </c>
      <c r="H47" s="339"/>
      <c r="I47" s="340"/>
      <c r="J47" s="340"/>
      <c r="K47" s="340"/>
      <c r="M47" s="342"/>
      <c r="N47" s="367"/>
    </row>
    <row r="48" spans="1:14" s="341" customFormat="1" ht="13.5" customHeight="1">
      <c r="A48" s="343" t="s">
        <v>176</v>
      </c>
      <c r="B48" s="336" t="s">
        <v>155</v>
      </c>
      <c r="C48" s="363">
        <f>+C49+C51</f>
        <v>6607595584</v>
      </c>
      <c r="D48" s="363">
        <f>+D49+D51</f>
        <v>3151798587</v>
      </c>
      <c r="E48" s="363">
        <f>+E49+E51</f>
        <v>2563357213</v>
      </c>
      <c r="F48" s="337">
        <f t="shared" si="2"/>
        <v>2857577900</v>
      </c>
      <c r="G48" s="338">
        <f t="shared" si="3"/>
        <v>0.4324686436499683</v>
      </c>
      <c r="H48" s="347" t="s">
        <v>161</v>
      </c>
      <c r="I48" s="340"/>
      <c r="J48" s="340"/>
      <c r="K48" s="340"/>
      <c r="M48" s="342" t="s">
        <v>161</v>
      </c>
      <c r="N48" s="367"/>
    </row>
    <row r="49" spans="1:14" s="341" customFormat="1" ht="13.5" customHeight="1">
      <c r="A49" s="343">
        <v>19.4</v>
      </c>
      <c r="B49" s="336" t="s">
        <v>55</v>
      </c>
      <c r="C49" s="337">
        <v>5273010086</v>
      </c>
      <c r="D49" s="337">
        <v>2545498791</v>
      </c>
      <c r="E49" s="337">
        <v>2029982291</v>
      </c>
      <c r="F49" s="337">
        <f t="shared" si="2"/>
        <v>2287740541</v>
      </c>
      <c r="G49" s="338">
        <f t="shared" si="3"/>
        <v>0.4338585558700181</v>
      </c>
      <c r="H49" s="339"/>
      <c r="I49" s="355" t="s">
        <v>235</v>
      </c>
      <c r="J49" s="340"/>
      <c r="K49" s="340"/>
      <c r="M49" s="342" t="s">
        <v>161</v>
      </c>
      <c r="N49" s="367"/>
    </row>
    <row r="50" spans="1:14" s="341" customFormat="1" ht="13.5" customHeight="1">
      <c r="A50" s="343">
        <v>21.1</v>
      </c>
      <c r="B50" s="336" t="s">
        <v>56</v>
      </c>
      <c r="C50" s="337">
        <v>14590181260</v>
      </c>
      <c r="D50" s="337">
        <v>4869958810</v>
      </c>
      <c r="E50" s="337">
        <v>4594876404</v>
      </c>
      <c r="F50" s="337">
        <f t="shared" si="2"/>
        <v>4732417607</v>
      </c>
      <c r="G50" s="338">
        <f t="shared" si="3"/>
        <v>0.32435632722221575</v>
      </c>
      <c r="H50" s="339"/>
      <c r="I50" s="356" t="s">
        <v>236</v>
      </c>
      <c r="J50" s="357"/>
      <c r="K50" s="340"/>
      <c r="M50" s="342" t="s">
        <v>161</v>
      </c>
      <c r="N50" s="367"/>
    </row>
    <row r="51" spans="1:14" s="341" customFormat="1" ht="13.5" customHeight="1">
      <c r="A51" s="343">
        <v>21.2</v>
      </c>
      <c r="B51" s="336" t="s">
        <v>57</v>
      </c>
      <c r="C51" s="337">
        <v>1334585498</v>
      </c>
      <c r="D51" s="337">
        <v>606299796</v>
      </c>
      <c r="E51" s="337">
        <v>533374922</v>
      </c>
      <c r="F51" s="337">
        <f t="shared" si="2"/>
        <v>569837359</v>
      </c>
      <c r="G51" s="338">
        <f t="shared" si="3"/>
        <v>0.4269770350823938</v>
      </c>
      <c r="H51" s="339"/>
      <c r="I51" s="356" t="s">
        <v>237</v>
      </c>
      <c r="J51" s="357"/>
      <c r="K51" s="340"/>
      <c r="M51" s="342" t="s">
        <v>161</v>
      </c>
      <c r="N51" s="367"/>
    </row>
    <row r="52" spans="1:14" s="341" customFormat="1" ht="13.5" customHeight="1">
      <c r="A52" s="343">
        <v>22</v>
      </c>
      <c r="B52" s="336" t="s">
        <v>58</v>
      </c>
      <c r="C52" s="337">
        <v>248373624</v>
      </c>
      <c r="D52" s="337">
        <v>105108476</v>
      </c>
      <c r="E52" s="337">
        <v>92449806</v>
      </c>
      <c r="F52" s="337">
        <f t="shared" si="2"/>
        <v>98779141</v>
      </c>
      <c r="G52" s="338">
        <f t="shared" si="3"/>
        <v>0.39770382784284697</v>
      </c>
      <c r="H52" s="339"/>
      <c r="I52" s="356" t="s">
        <v>238</v>
      </c>
      <c r="J52" s="357"/>
      <c r="K52" s="340"/>
      <c r="M52" s="342" t="s">
        <v>161</v>
      </c>
      <c r="N52" s="367"/>
    </row>
    <row r="53" spans="1:14" s="341" customFormat="1" ht="13.5" customHeight="1">
      <c r="A53" s="343">
        <v>23</v>
      </c>
      <c r="B53" s="336" t="s">
        <v>59</v>
      </c>
      <c r="C53" s="337">
        <v>166937188</v>
      </c>
      <c r="D53" s="337">
        <v>99008795</v>
      </c>
      <c r="E53" s="337">
        <v>94019339</v>
      </c>
      <c r="F53" s="337">
        <f t="shared" si="2"/>
        <v>96514067</v>
      </c>
      <c r="G53" s="338">
        <f t="shared" si="3"/>
        <v>0.5781459970441097</v>
      </c>
      <c r="H53" s="339"/>
      <c r="I53" s="356" t="s">
        <v>239</v>
      </c>
      <c r="J53" s="357"/>
      <c r="K53" s="340"/>
      <c r="M53" s="342" t="s">
        <v>161</v>
      </c>
      <c r="N53" s="367"/>
    </row>
    <row r="54" spans="1:14" s="341" customFormat="1" ht="13.5" customHeight="1">
      <c r="A54" s="343">
        <v>24</v>
      </c>
      <c r="B54" s="336" t="s">
        <v>60</v>
      </c>
      <c r="C54" s="337">
        <v>984108185</v>
      </c>
      <c r="D54" s="337">
        <v>628686542</v>
      </c>
      <c r="E54" s="337">
        <v>562688583</v>
      </c>
      <c r="F54" s="337">
        <f t="shared" si="2"/>
        <v>595687562.5</v>
      </c>
      <c r="G54" s="338">
        <f t="shared" si="3"/>
        <v>0.6053069891904211</v>
      </c>
      <c r="H54" s="339"/>
      <c r="I54" s="340"/>
      <c r="J54" s="340"/>
      <c r="K54" s="340"/>
      <c r="M54" s="342" t="s">
        <v>161</v>
      </c>
      <c r="N54" s="367"/>
    </row>
    <row r="55" spans="1:14" s="341" customFormat="1" ht="13.5" customHeight="1">
      <c r="A55" s="343">
        <v>26</v>
      </c>
      <c r="B55" s="336" t="s">
        <v>61</v>
      </c>
      <c r="C55" s="337">
        <v>65378862</v>
      </c>
      <c r="D55" s="337">
        <v>36487331</v>
      </c>
      <c r="E55" s="337">
        <v>34951469</v>
      </c>
      <c r="F55" s="337">
        <f t="shared" si="2"/>
        <v>35719400</v>
      </c>
      <c r="G55" s="338">
        <f t="shared" si="3"/>
        <v>0.5463447803664738</v>
      </c>
      <c r="H55" s="339"/>
      <c r="I55" s="340"/>
      <c r="J55" s="340"/>
      <c r="K55" s="340"/>
      <c r="M55" s="342" t="s">
        <v>161</v>
      </c>
      <c r="N55" s="367"/>
    </row>
    <row r="56" spans="1:14" s="341" customFormat="1" ht="13.5" customHeight="1">
      <c r="A56" s="343">
        <v>27</v>
      </c>
      <c r="B56" s="336" t="s">
        <v>62</v>
      </c>
      <c r="C56" s="337">
        <v>191618467</v>
      </c>
      <c r="D56" s="337">
        <v>115905006</v>
      </c>
      <c r="E56" s="337">
        <v>109249024</v>
      </c>
      <c r="F56" s="337">
        <f t="shared" si="2"/>
        <v>112577015</v>
      </c>
      <c r="G56" s="338">
        <f t="shared" si="3"/>
        <v>0.5875060831167176</v>
      </c>
      <c r="H56" s="339"/>
      <c r="I56" s="340"/>
      <c r="J56" s="340"/>
      <c r="K56" s="340"/>
      <c r="M56" s="342" t="s">
        <v>161</v>
      </c>
      <c r="N56" s="367"/>
    </row>
    <row r="57" spans="1:14" s="341" customFormat="1" ht="13.5" customHeight="1">
      <c r="A57" s="343">
        <v>28</v>
      </c>
      <c r="B57" s="336" t="s">
        <v>63</v>
      </c>
      <c r="C57" s="337">
        <v>195367407</v>
      </c>
      <c r="D57" s="337">
        <v>74021635</v>
      </c>
      <c r="E57" s="337">
        <v>78826130</v>
      </c>
      <c r="F57" s="337">
        <f t="shared" si="2"/>
        <v>76423882.5</v>
      </c>
      <c r="G57" s="338">
        <f t="shared" si="3"/>
        <v>0.39118030828960126</v>
      </c>
      <c r="H57" s="339"/>
      <c r="I57" s="340"/>
      <c r="J57" s="340"/>
      <c r="K57" s="340"/>
      <c r="M57" s="342" t="s">
        <v>161</v>
      </c>
      <c r="N57" s="367"/>
    </row>
    <row r="58" spans="1:14" s="341" customFormat="1" ht="13.5" customHeight="1" hidden="1">
      <c r="A58" s="343">
        <v>29</v>
      </c>
      <c r="B58" s="336" t="s">
        <v>197</v>
      </c>
      <c r="C58" s="337">
        <v>17063</v>
      </c>
      <c r="D58" s="337">
        <v>10170</v>
      </c>
      <c r="E58" s="337">
        <v>0</v>
      </c>
      <c r="F58" s="337">
        <f>(D58+E58)/2</f>
        <v>5085</v>
      </c>
      <c r="G58" s="338">
        <f>F58/C58</f>
        <v>0.2980132450331126</v>
      </c>
      <c r="H58" s="339"/>
      <c r="I58" s="340"/>
      <c r="J58" s="340"/>
      <c r="K58" s="340"/>
      <c r="M58" s="342"/>
      <c r="N58" s="367"/>
    </row>
    <row r="59" spans="1:14" s="341" customFormat="1" ht="13.5" customHeight="1">
      <c r="A59" s="343">
        <v>30</v>
      </c>
      <c r="B59" s="336" t="s">
        <v>156</v>
      </c>
      <c r="C59" s="337">
        <v>225902900</v>
      </c>
      <c r="D59" s="337">
        <v>429748812</v>
      </c>
      <c r="E59" s="337">
        <v>385744839</v>
      </c>
      <c r="F59" s="337">
        <f t="shared" si="2"/>
        <v>407746825.5</v>
      </c>
      <c r="G59" s="338">
        <f t="shared" si="3"/>
        <v>1.8049649893826065</v>
      </c>
      <c r="H59" s="339"/>
      <c r="I59" s="340"/>
      <c r="J59" s="340"/>
      <c r="K59" s="340"/>
      <c r="M59" s="342" t="s">
        <v>161</v>
      </c>
      <c r="N59" s="367"/>
    </row>
    <row r="60" spans="1:14" s="341" customFormat="1" ht="13.5" customHeight="1">
      <c r="A60" s="343">
        <v>34</v>
      </c>
      <c r="B60" s="336" t="s">
        <v>64</v>
      </c>
      <c r="C60" s="337">
        <v>111873937</v>
      </c>
      <c r="D60" s="337">
        <v>59607894</v>
      </c>
      <c r="E60" s="337">
        <v>46334573</v>
      </c>
      <c r="F60" s="337">
        <f>(D60+E60)/2</f>
        <v>52971233.5</v>
      </c>
      <c r="G60" s="338">
        <f t="shared" si="3"/>
        <v>0.4734903849857362</v>
      </c>
      <c r="H60" s="339"/>
      <c r="I60" s="340"/>
      <c r="J60" s="340"/>
      <c r="K60" s="340"/>
      <c r="M60" s="342" t="s">
        <v>161</v>
      </c>
      <c r="N60" s="367"/>
    </row>
    <row r="61" spans="1:14" s="341" customFormat="1" ht="13.5" customHeight="1" hidden="1">
      <c r="A61" s="343">
        <v>35</v>
      </c>
      <c r="B61" s="336" t="s">
        <v>184</v>
      </c>
      <c r="C61" s="337">
        <v>101840086395</v>
      </c>
      <c r="D61" s="337">
        <v>44530837990</v>
      </c>
      <c r="E61" s="337">
        <v>42463667905</v>
      </c>
      <c r="F61" s="337">
        <f>(D61+E61)/2</f>
        <v>43497252947.5</v>
      </c>
      <c r="G61" s="338">
        <f t="shared" si="3"/>
        <v>0.42711327618861455</v>
      </c>
      <c r="H61" s="339"/>
      <c r="I61" s="340"/>
      <c r="J61" s="340"/>
      <c r="K61" s="340"/>
      <c r="M61" s="342"/>
      <c r="N61" s="367"/>
    </row>
    <row r="62" spans="1:14" s="341" customFormat="1" ht="13.5" customHeight="1">
      <c r="A62" s="343"/>
      <c r="B62" s="336" t="s">
        <v>240</v>
      </c>
      <c r="C62" s="346">
        <f>+C7+C8+C11+C12+C13+C14+C16+C17+C20+C23+C24+C25+C38+C39+C42+C43+C46+C49+C50+C51+C52+C53+C54+C55+C56+C57+C59+C60</f>
        <v>87648901699</v>
      </c>
      <c r="D62" s="346">
        <f>+D7+D8+D11+D12+D13+D14+D16+D17+D20+D23+D24+D25+D38+D39+D42+D43+D46+D49+D50+D51+D52+D53+D54+D55+D56+D57+D59+D60</f>
        <v>39692034669</v>
      </c>
      <c r="E62" s="346">
        <f>+E7+E8+E11+E12+E13+E14+E16+E17+E20+E23+E24+E25+E38+E39+E42+E43+E46+E49+E50+E51+E52+E53+E54+E55+E56+E57+E59+E60</f>
        <v>36847662997</v>
      </c>
      <c r="F62" s="337">
        <f>(D62+E62)/2</f>
        <v>38269848833</v>
      </c>
      <c r="G62" s="338">
        <f t="shared" si="3"/>
        <v>0.4366266786140074</v>
      </c>
      <c r="H62" s="347" t="s">
        <v>161</v>
      </c>
      <c r="I62" s="340"/>
      <c r="J62" s="340"/>
      <c r="K62" s="340"/>
      <c r="M62" s="342" t="s">
        <v>161</v>
      </c>
      <c r="N62" s="367"/>
    </row>
    <row r="63" ht="15.75">
      <c r="E63" s="340"/>
    </row>
    <row r="64" spans="1:7" ht="15.75" customHeight="1">
      <c r="A64" s="459" t="s">
        <v>257</v>
      </c>
      <c r="B64" s="459"/>
      <c r="C64" s="459"/>
      <c r="D64" s="459"/>
      <c r="E64" s="459"/>
      <c r="F64" s="459"/>
      <c r="G64" s="459"/>
    </row>
    <row r="65" spans="1:7" ht="23.25" customHeight="1">
      <c r="A65" s="459"/>
      <c r="B65" s="459"/>
      <c r="C65" s="459"/>
      <c r="D65" s="459"/>
      <c r="E65" s="459"/>
      <c r="F65" s="459"/>
      <c r="G65" s="459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</sheetData>
  <sheetProtection/>
  <mergeCells count="4">
    <mergeCell ref="A1:G1"/>
    <mergeCell ref="A2:G2"/>
    <mergeCell ref="A64:E65"/>
    <mergeCell ref="F64:G65"/>
  </mergeCells>
  <printOptions/>
  <pageMargins left="0.7" right="0.7" top="0.75" bottom="0.75" header="0.3" footer="0.3"/>
  <pageSetup fitToHeight="1" fitToWidth="1" horizontalDpi="1200" verticalDpi="1200" orientation="portrait" scale="67" r:id="rId3"/>
  <headerFooter>
    <oddFooter>&amp;LCalifornia Department of Insurance &amp;RRate Specialist Bureau-8/25/2023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404" customWidth="1"/>
    <col min="2" max="2" width="14.140625" style="405" customWidth="1"/>
    <col min="3" max="3" width="28.8515625" style="404" customWidth="1"/>
    <col min="4" max="5" width="18.421875" style="406" customWidth="1"/>
    <col min="6" max="6" width="19.140625" style="406" customWidth="1"/>
    <col min="7" max="7" width="3.8515625" style="406" hidden="1" customWidth="1"/>
    <col min="8" max="8" width="9.140625" style="370" hidden="1" customWidth="1"/>
    <col min="9" max="10" width="9.140625" style="404" hidden="1" customWidth="1"/>
    <col min="11" max="16384" width="9.140625" style="404" customWidth="1"/>
  </cols>
  <sheetData>
    <row r="1" spans="2:8" s="368" customFormat="1" ht="24.75" customHeight="1">
      <c r="B1" s="460" t="s">
        <v>241</v>
      </c>
      <c r="C1" s="460"/>
      <c r="D1" s="460"/>
      <c r="E1" s="460"/>
      <c r="F1" s="460"/>
      <c r="G1" s="369"/>
      <c r="H1" s="370"/>
    </row>
    <row r="2" spans="2:8" s="368" customFormat="1" ht="19.5" customHeight="1">
      <c r="B2" s="369"/>
      <c r="C2" s="369"/>
      <c r="D2" s="369"/>
      <c r="E2" s="369"/>
      <c r="F2" s="369"/>
      <c r="G2" s="369"/>
      <c r="H2" s="370"/>
    </row>
    <row r="3" spans="2:8" s="368" customFormat="1" ht="19.5" customHeight="1" thickBot="1">
      <c r="B3" s="369"/>
      <c r="C3" s="369"/>
      <c r="D3" s="371"/>
      <c r="E3"/>
      <c r="F3" s="369"/>
      <c r="G3" s="369"/>
      <c r="H3" s="370"/>
    </row>
    <row r="4" spans="2:8" s="372" customFormat="1" ht="14.25" customHeight="1">
      <c r="B4" s="373"/>
      <c r="C4" s="374"/>
      <c r="D4" s="375" t="s">
        <v>242</v>
      </c>
      <c r="E4" s="375" t="s">
        <v>243</v>
      </c>
      <c r="F4" s="461" t="s">
        <v>244</v>
      </c>
      <c r="G4" s="376"/>
      <c r="H4" s="377"/>
    </row>
    <row r="5" spans="2:8" s="372" customFormat="1" ht="14.25" customHeight="1">
      <c r="B5" s="378"/>
      <c r="C5" s="379" t="s">
        <v>0</v>
      </c>
      <c r="D5" s="380" t="s">
        <v>15</v>
      </c>
      <c r="E5" s="380" t="s">
        <v>15</v>
      </c>
      <c r="F5" s="462"/>
      <c r="G5" s="381"/>
      <c r="H5" s="377"/>
    </row>
    <row r="6" spans="2:10" s="382" customFormat="1" ht="14.25" customHeight="1" thickBot="1">
      <c r="B6" s="383"/>
      <c r="C6" s="384"/>
      <c r="D6" s="385" t="s">
        <v>245</v>
      </c>
      <c r="E6" s="385" t="s">
        <v>246</v>
      </c>
      <c r="F6" s="386" t="s">
        <v>247</v>
      </c>
      <c r="G6" s="387"/>
      <c r="H6" s="388" t="s">
        <v>219</v>
      </c>
      <c r="J6" s="389" t="s">
        <v>190</v>
      </c>
    </row>
    <row r="7" spans="2:10" s="390" customFormat="1" ht="15">
      <c r="B7" s="391" t="s">
        <v>76</v>
      </c>
      <c r="C7" s="392" t="s">
        <v>41</v>
      </c>
      <c r="D7" s="393">
        <v>0.515166060245236</v>
      </c>
      <c r="E7" s="393">
        <v>0.5205796112995335</v>
      </c>
      <c r="F7" s="394">
        <f>+E7-D7</f>
        <v>0.005413551054297416</v>
      </c>
      <c r="G7" s="395"/>
      <c r="H7" s="396" t="s">
        <v>161</v>
      </c>
      <c r="J7" s="397">
        <f>+D7/E7-1</f>
        <v>-0.010399083899547024</v>
      </c>
    </row>
    <row r="8" spans="2:10" s="390" customFormat="1" ht="15">
      <c r="B8" s="398" t="s">
        <v>77</v>
      </c>
      <c r="C8" s="392" t="s">
        <v>42</v>
      </c>
      <c r="D8" s="393">
        <v>0.49642851354661766</v>
      </c>
      <c r="E8" s="393">
        <v>0.5037363375616242</v>
      </c>
      <c r="F8" s="394">
        <f aca="true" t="shared" si="0" ref="F8:F61">+E8-D8</f>
        <v>0.007307824015006514</v>
      </c>
      <c r="G8" s="395"/>
      <c r="H8" s="396" t="s">
        <v>161</v>
      </c>
      <c r="J8" s="397">
        <f aca="true" t="shared" si="1" ref="J8:J62">+D8/E8-1</f>
        <v>-0.014507240137530353</v>
      </c>
    </row>
    <row r="9" spans="2:10" s="390" customFormat="1" ht="15" hidden="1">
      <c r="B9" s="398" t="s">
        <v>178</v>
      </c>
      <c r="C9" s="392" t="s">
        <v>119</v>
      </c>
      <c r="D9" s="393">
        <v>0.29672756248244775</v>
      </c>
      <c r="E9" s="393">
        <v>0.22560199354176563</v>
      </c>
      <c r="F9" s="394">
        <f t="shared" si="0"/>
        <v>-0.07112556894068212</v>
      </c>
      <c r="G9" s="395"/>
      <c r="H9" s="396"/>
      <c r="J9" s="399">
        <f t="shared" si="1"/>
        <v>0.315270126048397</v>
      </c>
    </row>
    <row r="10" spans="2:10" s="390" customFormat="1" ht="15" hidden="1">
      <c r="B10" s="398" t="s">
        <v>179</v>
      </c>
      <c r="C10" s="392" t="s">
        <v>120</v>
      </c>
      <c r="D10" s="393">
        <v>0.5448629689605822</v>
      </c>
      <c r="E10" s="393">
        <v>0.5340213325761037</v>
      </c>
      <c r="F10" s="394">
        <f t="shared" si="0"/>
        <v>-0.010841636384478437</v>
      </c>
      <c r="G10" s="395"/>
      <c r="H10" s="396"/>
      <c r="J10" s="397">
        <f t="shared" si="1"/>
        <v>0.02030187882603629</v>
      </c>
    </row>
    <row r="11" spans="2:10" s="390" customFormat="1" ht="15">
      <c r="B11" s="398" t="s">
        <v>180</v>
      </c>
      <c r="C11" s="392" t="s">
        <v>181</v>
      </c>
      <c r="D11" s="393">
        <v>0.026653810880407226</v>
      </c>
      <c r="E11" s="393">
        <v>0.03899571383232356</v>
      </c>
      <c r="F11" s="394">
        <f t="shared" si="0"/>
        <v>0.012341902951916332</v>
      </c>
      <c r="G11" s="395"/>
      <c r="H11" s="396" t="s">
        <v>161</v>
      </c>
      <c r="J11" s="399">
        <f t="shared" si="1"/>
        <v>-0.31649383327062286</v>
      </c>
    </row>
    <row r="12" spans="2:10" s="390" customFormat="1" ht="15">
      <c r="B12" s="398" t="s">
        <v>185</v>
      </c>
      <c r="C12" s="392" t="s">
        <v>186</v>
      </c>
      <c r="D12" s="393">
        <v>0.4800500837705896</v>
      </c>
      <c r="E12" s="393">
        <v>0.4981761347489268</v>
      </c>
      <c r="F12" s="394">
        <f t="shared" si="0"/>
        <v>0.018126050978337194</v>
      </c>
      <c r="G12" s="395"/>
      <c r="H12" s="396" t="s">
        <v>161</v>
      </c>
      <c r="J12" s="397">
        <f t="shared" si="1"/>
        <v>-0.03638482398895415</v>
      </c>
    </row>
    <row r="13" spans="2:10" s="390" customFormat="1" ht="15">
      <c r="B13" s="400" t="s">
        <v>78</v>
      </c>
      <c r="C13" s="392" t="s">
        <v>43</v>
      </c>
      <c r="D13" s="393">
        <v>0.47510354758054174</v>
      </c>
      <c r="E13" s="393">
        <v>0.4708101824345417</v>
      </c>
      <c r="F13" s="394">
        <f t="shared" si="0"/>
        <v>-0.004293365146000039</v>
      </c>
      <c r="G13" s="395"/>
      <c r="H13" s="396" t="s">
        <v>161</v>
      </c>
      <c r="J13" s="397">
        <f t="shared" si="1"/>
        <v>0.0091191000241313</v>
      </c>
    </row>
    <row r="14" spans="2:10" s="390" customFormat="1" ht="15">
      <c r="B14" s="401" t="s">
        <v>79</v>
      </c>
      <c r="C14" s="392" t="s">
        <v>44</v>
      </c>
      <c r="D14" s="393">
        <v>0.5218297080127106</v>
      </c>
      <c r="E14" s="393">
        <v>0.5181954561669329</v>
      </c>
      <c r="F14" s="394">
        <f t="shared" si="0"/>
        <v>-0.003634251845777703</v>
      </c>
      <c r="G14" s="395"/>
      <c r="H14" s="396" t="s">
        <v>161</v>
      </c>
      <c r="J14" s="397">
        <f t="shared" si="1"/>
        <v>0.007013283892259636</v>
      </c>
    </row>
    <row r="15" spans="2:10" s="390" customFormat="1" ht="15">
      <c r="B15" s="401" t="s">
        <v>142</v>
      </c>
      <c r="C15" s="392" t="s">
        <v>141</v>
      </c>
      <c r="D15" s="393">
        <v>0.4839263184674723</v>
      </c>
      <c r="E15" s="393">
        <v>0.4795271561934746</v>
      </c>
      <c r="F15" s="394">
        <f t="shared" si="0"/>
        <v>-0.004399162273997725</v>
      </c>
      <c r="G15" s="395"/>
      <c r="H15" s="396" t="s">
        <v>161</v>
      </c>
      <c r="J15" s="397">
        <f t="shared" si="1"/>
        <v>0.009173958590622089</v>
      </c>
    </row>
    <row r="16" spans="2:10" s="390" customFormat="1" ht="15">
      <c r="B16" s="401" t="s">
        <v>80</v>
      </c>
      <c r="C16" s="392" t="s">
        <v>45</v>
      </c>
      <c r="D16" s="393">
        <v>0.48502164469252623</v>
      </c>
      <c r="E16" s="393">
        <v>0.4840848405771901</v>
      </c>
      <c r="F16" s="394">
        <f t="shared" si="0"/>
        <v>-0.0009368041153361428</v>
      </c>
      <c r="G16" s="395"/>
      <c r="H16" s="396" t="s">
        <v>161</v>
      </c>
      <c r="J16" s="397">
        <f t="shared" si="1"/>
        <v>0.0019352064696327442</v>
      </c>
    </row>
    <row r="17" spans="2:10" s="390" customFormat="1" ht="15">
      <c r="B17" s="401" t="s">
        <v>81</v>
      </c>
      <c r="C17" s="392" t="s">
        <v>46</v>
      </c>
      <c r="D17" s="393">
        <v>0.48202380222454394</v>
      </c>
      <c r="E17" s="393">
        <v>0.47147997791220864</v>
      </c>
      <c r="F17" s="394">
        <f t="shared" si="0"/>
        <v>-0.010543824312335304</v>
      </c>
      <c r="G17" s="395"/>
      <c r="H17" s="396" t="s">
        <v>161</v>
      </c>
      <c r="J17" s="397">
        <f t="shared" si="1"/>
        <v>0.022363249355837223</v>
      </c>
    </row>
    <row r="18" spans="2:10" s="390" customFormat="1" ht="15" hidden="1">
      <c r="B18" s="401" t="s">
        <v>82</v>
      </c>
      <c r="C18" s="392" t="s">
        <v>47</v>
      </c>
      <c r="D18" s="393">
        <v>0.2866529011008425</v>
      </c>
      <c r="E18" s="393">
        <v>0.2262440130294703</v>
      </c>
      <c r="F18" s="394">
        <f t="shared" si="0"/>
        <v>-0.06040888807137221</v>
      </c>
      <c r="G18" s="395"/>
      <c r="H18" s="396"/>
      <c r="J18" s="399">
        <f t="shared" si="1"/>
        <v>0.2670076757500912</v>
      </c>
    </row>
    <row r="19" spans="2:10" s="390" customFormat="1" ht="15" hidden="1">
      <c r="B19" s="401" t="s">
        <v>83</v>
      </c>
      <c r="C19" s="392" t="s">
        <v>84</v>
      </c>
      <c r="D19" s="393">
        <v>0.39086466807961906</v>
      </c>
      <c r="E19" s="393">
        <v>0.38000882854500356</v>
      </c>
      <c r="F19" s="394">
        <f t="shared" si="0"/>
        <v>-0.010855839534615497</v>
      </c>
      <c r="G19" s="395"/>
      <c r="H19" s="396"/>
      <c r="J19" s="397">
        <f t="shared" si="1"/>
        <v>0.028567335070032174</v>
      </c>
    </row>
    <row r="20" spans="2:10" s="390" customFormat="1" ht="15">
      <c r="B20" s="401" t="s">
        <v>85</v>
      </c>
      <c r="C20" s="392" t="s">
        <v>48</v>
      </c>
      <c r="D20" s="393">
        <v>0.27369996801304597</v>
      </c>
      <c r="E20" s="393">
        <v>0.2891569615259126</v>
      </c>
      <c r="F20" s="394">
        <f t="shared" si="0"/>
        <v>0.015456993512866612</v>
      </c>
      <c r="G20" s="395"/>
      <c r="H20" s="396" t="s">
        <v>161</v>
      </c>
      <c r="J20" s="397">
        <f t="shared" si="1"/>
        <v>-0.0534553739647089</v>
      </c>
    </row>
    <row r="21" spans="2:10" s="390" customFormat="1" ht="15" hidden="1">
      <c r="B21" s="398">
        <v>10</v>
      </c>
      <c r="C21" s="392" t="s">
        <v>49</v>
      </c>
      <c r="D21" s="393">
        <v>6.814960843072568</v>
      </c>
      <c r="E21" s="393">
        <v>9.31723096744679</v>
      </c>
      <c r="F21" s="394">
        <f t="shared" si="0"/>
        <v>2.5022701243742214</v>
      </c>
      <c r="G21" s="395"/>
      <c r="H21" s="396"/>
      <c r="J21" s="397">
        <f t="shared" si="1"/>
        <v>-0.2685637109476874</v>
      </c>
    </row>
    <row r="22" spans="2:10" s="390" customFormat="1" ht="15">
      <c r="B22" s="398">
        <v>11</v>
      </c>
      <c r="C22" s="392" t="s">
        <v>158</v>
      </c>
      <c r="D22" s="393">
        <v>0.5157906798621074</v>
      </c>
      <c r="E22" s="393">
        <v>0.5092461625097655</v>
      </c>
      <c r="F22" s="394">
        <f t="shared" si="0"/>
        <v>-0.00654451735234185</v>
      </c>
      <c r="G22" s="395"/>
      <c r="H22" s="396" t="s">
        <v>161</v>
      </c>
      <c r="J22" s="397">
        <f t="shared" si="1"/>
        <v>0.01285138275777653</v>
      </c>
    </row>
    <row r="23" spans="1:10" s="390" customFormat="1" ht="15">
      <c r="A23" s="390" t="s">
        <v>161</v>
      </c>
      <c r="B23" s="398">
        <v>11.1</v>
      </c>
      <c r="C23" s="392" t="s">
        <v>226</v>
      </c>
      <c r="D23" s="393">
        <v>0.6507020801971031</v>
      </c>
      <c r="E23" s="393">
        <v>1.2921398663660475</v>
      </c>
      <c r="F23" s="394">
        <f t="shared" si="0"/>
        <v>0.6414377861689444</v>
      </c>
      <c r="G23" s="395"/>
      <c r="H23" s="396" t="s">
        <v>161</v>
      </c>
      <c r="J23" s="399">
        <f t="shared" si="1"/>
        <v>-0.49641513497520473</v>
      </c>
    </row>
    <row r="24" spans="1:10" s="390" customFormat="1" ht="15">
      <c r="A24" s="390" t="s">
        <v>161</v>
      </c>
      <c r="B24" s="398">
        <v>11.2</v>
      </c>
      <c r="C24" s="392" t="s">
        <v>227</v>
      </c>
      <c r="D24" s="393">
        <v>0.47360440103971485</v>
      </c>
      <c r="E24" s="393">
        <v>0.3983952911820762</v>
      </c>
      <c r="F24" s="394">
        <f t="shared" si="0"/>
        <v>-0.07520910985763862</v>
      </c>
      <c r="G24" s="395"/>
      <c r="H24" s="396" t="s">
        <v>161</v>
      </c>
      <c r="J24" s="399">
        <f t="shared" si="1"/>
        <v>0.18878011744186574</v>
      </c>
    </row>
    <row r="25" spans="2:10" s="390" customFormat="1" ht="15">
      <c r="B25" s="398">
        <v>12</v>
      </c>
      <c r="C25" s="392" t="s">
        <v>51</v>
      </c>
      <c r="D25" s="393">
        <v>0.48451621817511087</v>
      </c>
      <c r="E25" s="393">
        <v>0.4867576632812877</v>
      </c>
      <c r="F25" s="394">
        <f t="shared" si="0"/>
        <v>0.0022414451061768537</v>
      </c>
      <c r="G25" s="395"/>
      <c r="H25" s="396" t="s">
        <v>161</v>
      </c>
      <c r="J25" s="397">
        <f t="shared" si="1"/>
        <v>-0.0046048481107970884</v>
      </c>
    </row>
    <row r="26" spans="2:10" s="390" customFormat="1" ht="15" hidden="1">
      <c r="B26" s="398">
        <v>13</v>
      </c>
      <c r="C26" s="392" t="s">
        <v>121</v>
      </c>
      <c r="D26" s="393">
        <v>0.9720612639147763</v>
      </c>
      <c r="E26" s="393">
        <v>0.9916709681644662</v>
      </c>
      <c r="F26" s="394">
        <f t="shared" si="0"/>
        <v>0.019609704249689885</v>
      </c>
      <c r="G26" s="395"/>
      <c r="H26" s="396"/>
      <c r="J26" s="397">
        <f t="shared" si="1"/>
        <v>-0.019774405906009762</v>
      </c>
    </row>
    <row r="27" spans="2:10" s="390" customFormat="1" ht="15" hidden="1">
      <c r="B27" s="398">
        <v>14</v>
      </c>
      <c r="C27" s="392" t="s">
        <v>122</v>
      </c>
      <c r="D27" s="393">
        <v>0.5421492483081255</v>
      </c>
      <c r="E27" s="393">
        <v>0.3672685823984642</v>
      </c>
      <c r="F27" s="394">
        <f t="shared" si="0"/>
        <v>-0.17488066590966128</v>
      </c>
      <c r="G27" s="395"/>
      <c r="H27" s="396"/>
      <c r="J27" s="397">
        <f t="shared" si="1"/>
        <v>0.4761656027520653</v>
      </c>
    </row>
    <row r="28" spans="2:10" s="390" customFormat="1" ht="15" hidden="1">
      <c r="B28" s="398">
        <v>15.1</v>
      </c>
      <c r="C28" s="392" t="s">
        <v>123</v>
      </c>
      <c r="D28" s="393">
        <v>0.13173168081022962</v>
      </c>
      <c r="E28" s="393">
        <v>0.014238179110981988</v>
      </c>
      <c r="F28" s="394">
        <f t="shared" si="0"/>
        <v>-0.11749350169924763</v>
      </c>
      <c r="G28" s="395"/>
      <c r="H28" s="396"/>
      <c r="J28" s="397">
        <f t="shared" si="1"/>
        <v>8.252003348421445</v>
      </c>
    </row>
    <row r="29" spans="2:10" s="390" customFormat="1" ht="15" hidden="1">
      <c r="B29" s="398">
        <v>15.2</v>
      </c>
      <c r="C29" s="392" t="s">
        <v>128</v>
      </c>
      <c r="D29" s="393">
        <v>0.013814616755793227</v>
      </c>
      <c r="E29" s="393">
        <v>0.0006169407490245572</v>
      </c>
      <c r="F29" s="394">
        <f t="shared" si="0"/>
        <v>-0.01319767600676867</v>
      </c>
      <c r="G29" s="395"/>
      <c r="H29" s="396"/>
      <c r="J29" s="397">
        <f t="shared" si="1"/>
        <v>21.392128867537878</v>
      </c>
    </row>
    <row r="30" spans="2:10" s="390" customFormat="1" ht="15" hidden="1">
      <c r="B30" s="398">
        <v>15.3</v>
      </c>
      <c r="C30" s="392" t="s">
        <v>129</v>
      </c>
      <c r="D30" s="393">
        <v>12.981584382607723</v>
      </c>
      <c r="E30" s="393">
        <v>52.6053671615883</v>
      </c>
      <c r="F30" s="394">
        <f t="shared" si="0"/>
        <v>39.623782778980576</v>
      </c>
      <c r="G30" s="395"/>
      <c r="H30" s="396"/>
      <c r="J30" s="397">
        <f t="shared" si="1"/>
        <v>-0.7532269978701585</v>
      </c>
    </row>
    <row r="31" spans="2:10" s="390" customFormat="1" ht="15" hidden="1">
      <c r="B31" s="398">
        <v>15.4</v>
      </c>
      <c r="C31" s="392" t="s">
        <v>130</v>
      </c>
      <c r="D31" s="393">
        <v>0.4144942402077248</v>
      </c>
      <c r="E31" s="393">
        <v>0.18476550520771345</v>
      </c>
      <c r="F31" s="394">
        <f t="shared" si="0"/>
        <v>-0.22972873500001134</v>
      </c>
      <c r="G31" s="395"/>
      <c r="H31" s="396"/>
      <c r="J31" s="397">
        <f t="shared" si="1"/>
        <v>1.2433529448137528</v>
      </c>
    </row>
    <row r="32" spans="2:10" s="390" customFormat="1" ht="15" hidden="1">
      <c r="B32" s="398">
        <v>15.5</v>
      </c>
      <c r="C32" s="392" t="s">
        <v>131</v>
      </c>
      <c r="D32" s="393">
        <v>0.3953290082065144</v>
      </c>
      <c r="E32" s="393" t="e">
        <v>#DIV/0!</v>
      </c>
      <c r="F32" s="394" t="e">
        <f t="shared" si="0"/>
        <v>#DIV/0!</v>
      </c>
      <c r="G32" s="395"/>
      <c r="H32" s="396"/>
      <c r="J32" s="397" t="e">
        <f t="shared" si="1"/>
        <v>#DIV/0!</v>
      </c>
    </row>
    <row r="33" spans="2:10" s="390" customFormat="1" ht="15" hidden="1">
      <c r="B33" s="398">
        <v>15.6</v>
      </c>
      <c r="C33" s="392" t="s">
        <v>228</v>
      </c>
      <c r="D33" s="393">
        <v>0</v>
      </c>
      <c r="E33" s="393">
        <v>0</v>
      </c>
      <c r="F33" s="394">
        <f t="shared" si="0"/>
        <v>0</v>
      </c>
      <c r="G33" s="395"/>
      <c r="H33" s="396"/>
      <c r="J33" s="397" t="e">
        <f t="shared" si="1"/>
        <v>#DIV/0!</v>
      </c>
    </row>
    <row r="34" spans="2:10" s="390" customFormat="1" ht="15" hidden="1">
      <c r="B34" s="398">
        <v>15.7</v>
      </c>
      <c r="C34" s="392" t="s">
        <v>132</v>
      </c>
      <c r="D34" s="393">
        <v>0.18496344295125206</v>
      </c>
      <c r="E34" s="393">
        <v>0.23576801780354548</v>
      </c>
      <c r="F34" s="394">
        <f t="shared" si="0"/>
        <v>0.05080457485229342</v>
      </c>
      <c r="G34" s="395"/>
      <c r="H34" s="396"/>
      <c r="J34" s="397">
        <f t="shared" si="1"/>
        <v>-0.21548543914309237</v>
      </c>
    </row>
    <row r="35" spans="2:10" s="390" customFormat="1" ht="15" hidden="1">
      <c r="B35" s="398">
        <v>15.8</v>
      </c>
      <c r="C35" s="392" t="s">
        <v>133</v>
      </c>
      <c r="D35" s="393">
        <v>0</v>
      </c>
      <c r="E35" s="393">
        <v>0</v>
      </c>
      <c r="F35" s="394">
        <f t="shared" si="0"/>
        <v>0</v>
      </c>
      <c r="G35" s="395"/>
      <c r="H35" s="396"/>
      <c r="J35" s="397" t="e">
        <f t="shared" si="1"/>
        <v>#DIV/0!</v>
      </c>
    </row>
    <row r="36" spans="2:10" s="390" customFormat="1" ht="15" hidden="1">
      <c r="B36" s="398">
        <v>16</v>
      </c>
      <c r="C36" s="392" t="s">
        <v>124</v>
      </c>
      <c r="D36" s="393">
        <v>0.319189012795209</v>
      </c>
      <c r="E36" s="393">
        <v>0.30761426922816976</v>
      </c>
      <c r="F36" s="394">
        <f t="shared" si="0"/>
        <v>-0.011574743567039247</v>
      </c>
      <c r="G36" s="395"/>
      <c r="H36" s="396"/>
      <c r="J36" s="397">
        <f t="shared" si="1"/>
        <v>0.03762745985770177</v>
      </c>
    </row>
    <row r="37" spans="2:10" s="390" customFormat="1" ht="15">
      <c r="B37" s="398">
        <v>17</v>
      </c>
      <c r="C37" s="392" t="s">
        <v>52</v>
      </c>
      <c r="D37" s="393">
        <v>0.5852881999043482</v>
      </c>
      <c r="E37" s="393">
        <v>0.5659158957474921</v>
      </c>
      <c r="F37" s="394">
        <f t="shared" si="0"/>
        <v>-0.01937230415685609</v>
      </c>
      <c r="G37" s="395"/>
      <c r="H37" s="396" t="s">
        <v>161</v>
      </c>
      <c r="J37" s="397">
        <f t="shared" si="1"/>
        <v>0.034231772428424456</v>
      </c>
    </row>
    <row r="38" spans="2:10" s="390" customFormat="1" ht="15">
      <c r="B38" s="398">
        <v>17.1</v>
      </c>
      <c r="C38" s="392" t="s">
        <v>230</v>
      </c>
      <c r="D38" s="393">
        <v>0.552955031848624</v>
      </c>
      <c r="E38" s="393">
        <v>0.5360621327556994</v>
      </c>
      <c r="F38" s="394">
        <f t="shared" si="0"/>
        <v>-0.016892899092924685</v>
      </c>
      <c r="G38" s="395"/>
      <c r="H38" s="396" t="s">
        <v>161</v>
      </c>
      <c r="J38" s="397">
        <f t="shared" si="1"/>
        <v>0.031512949825581726</v>
      </c>
    </row>
    <row r="39" spans="2:10" s="390" customFormat="1" ht="15">
      <c r="B39" s="398">
        <v>17.2</v>
      </c>
      <c r="C39" s="392" t="s">
        <v>231</v>
      </c>
      <c r="D39" s="393">
        <v>0.6179280894492429</v>
      </c>
      <c r="E39" s="393">
        <v>0.5962257540553371</v>
      </c>
      <c r="F39" s="394">
        <f t="shared" si="0"/>
        <v>-0.02170233539390587</v>
      </c>
      <c r="G39" s="395"/>
      <c r="H39" s="396" t="s">
        <v>161</v>
      </c>
      <c r="J39" s="397">
        <f t="shared" si="1"/>
        <v>0.03639952693471149</v>
      </c>
    </row>
    <row r="40" spans="2:10" s="390" customFormat="1" ht="15" hidden="1">
      <c r="B40" s="398">
        <v>17.3</v>
      </c>
      <c r="C40" s="392" t="s">
        <v>182</v>
      </c>
      <c r="D40" s="393">
        <v>0.3906738113686162</v>
      </c>
      <c r="E40" s="393">
        <v>0.37818829487452044</v>
      </c>
      <c r="F40" s="394">
        <f t="shared" si="0"/>
        <v>-0.012485516494095739</v>
      </c>
      <c r="G40" s="395"/>
      <c r="H40" s="396"/>
      <c r="J40" s="397">
        <f t="shared" si="1"/>
        <v>0.03301402148958177</v>
      </c>
    </row>
    <row r="41" spans="2:10" s="390" customFormat="1" ht="15">
      <c r="B41" s="398">
        <v>18</v>
      </c>
      <c r="C41" s="392" t="s">
        <v>53</v>
      </c>
      <c r="D41" s="393">
        <v>0.5141351047441002</v>
      </c>
      <c r="E41" s="393">
        <v>0.47872020258499437</v>
      </c>
      <c r="F41" s="394">
        <f t="shared" si="0"/>
        <v>-0.03541490215910581</v>
      </c>
      <c r="G41" s="395"/>
      <c r="H41" s="396" t="s">
        <v>161</v>
      </c>
      <c r="J41" s="397">
        <f t="shared" si="1"/>
        <v>0.07397829038313475</v>
      </c>
    </row>
    <row r="42" spans="1:10" s="390" customFormat="1" ht="15">
      <c r="A42" s="390" t="s">
        <v>161</v>
      </c>
      <c r="B42" s="398">
        <v>18.1</v>
      </c>
      <c r="C42" s="392" t="s">
        <v>232</v>
      </c>
      <c r="D42" s="393">
        <v>0.5135974699360848</v>
      </c>
      <c r="E42" s="393">
        <v>0.5069140545349816</v>
      </c>
      <c r="F42" s="394">
        <f t="shared" si="0"/>
        <v>-0.0066834154011031766</v>
      </c>
      <c r="G42" s="395"/>
      <c r="H42" s="396" t="s">
        <v>161</v>
      </c>
      <c r="J42" s="397">
        <f t="shared" si="1"/>
        <v>0.013184513905881268</v>
      </c>
    </row>
    <row r="43" spans="1:10" s="390" customFormat="1" ht="15">
      <c r="A43" s="390" t="s">
        <v>161</v>
      </c>
      <c r="B43" s="398">
        <v>18.2</v>
      </c>
      <c r="C43" s="392" t="s">
        <v>233</v>
      </c>
      <c r="D43" s="393">
        <v>0.5167134736622319</v>
      </c>
      <c r="E43" s="393">
        <v>0.39746137116993857</v>
      </c>
      <c r="F43" s="394">
        <f t="shared" si="0"/>
        <v>-0.11925210249229329</v>
      </c>
      <c r="G43" s="395"/>
      <c r="H43" s="396" t="s">
        <v>161</v>
      </c>
      <c r="J43" s="399">
        <f t="shared" si="1"/>
        <v>0.30003444647028576</v>
      </c>
    </row>
    <row r="44" spans="2:10" s="390" customFormat="1" ht="15" hidden="1">
      <c r="B44" s="398">
        <v>19.1</v>
      </c>
      <c r="C44" s="392" t="s">
        <v>126</v>
      </c>
      <c r="D44" s="393">
        <v>-0.02076113599864762</v>
      </c>
      <c r="E44" s="393">
        <v>0.6176599045595326</v>
      </c>
      <c r="F44" s="394">
        <f t="shared" si="0"/>
        <v>0.6384210405581802</v>
      </c>
      <c r="G44" s="395"/>
      <c r="H44" s="396"/>
      <c r="J44" s="397">
        <f t="shared" si="1"/>
        <v>-1.0336125687378928</v>
      </c>
    </row>
    <row r="45" spans="2:10" s="390" customFormat="1" ht="15">
      <c r="B45" s="398" t="s">
        <v>175</v>
      </c>
      <c r="C45" s="392" t="s">
        <v>154</v>
      </c>
      <c r="D45" s="393">
        <v>0.32312297334362844</v>
      </c>
      <c r="E45" s="393">
        <v>0.3220603218649371</v>
      </c>
      <c r="F45" s="394">
        <f t="shared" si="0"/>
        <v>-0.0010626514786913344</v>
      </c>
      <c r="G45" s="395"/>
      <c r="H45" s="396" t="s">
        <v>161</v>
      </c>
      <c r="J45" s="397">
        <f t="shared" si="1"/>
        <v>0.0032995417521100023</v>
      </c>
    </row>
    <row r="46" spans="2:10" s="390" customFormat="1" ht="15">
      <c r="B46" s="398">
        <v>19.2</v>
      </c>
      <c r="C46" s="392" t="s">
        <v>54</v>
      </c>
      <c r="D46" s="393">
        <v>0.32027023269708416</v>
      </c>
      <c r="E46" s="393">
        <v>0.32017913922712216</v>
      </c>
      <c r="F46" s="394">
        <f t="shared" si="0"/>
        <v>-9.10934699620003E-05</v>
      </c>
      <c r="G46" s="395"/>
      <c r="H46" s="396" t="s">
        <v>161</v>
      </c>
      <c r="J46" s="397">
        <f t="shared" si="1"/>
        <v>0.00028450782328248714</v>
      </c>
    </row>
    <row r="47" spans="2:10" s="390" customFormat="1" ht="15" hidden="1">
      <c r="B47" s="398">
        <v>19.3</v>
      </c>
      <c r="C47" s="392" t="s">
        <v>183</v>
      </c>
      <c r="D47" s="393">
        <v>0.6692499356808302</v>
      </c>
      <c r="E47" s="393">
        <v>0.9484768851198929</v>
      </c>
      <c r="F47" s="394">
        <f t="shared" si="0"/>
        <v>0.2792269494390627</v>
      </c>
      <c r="G47" s="395"/>
      <c r="H47" s="396"/>
      <c r="J47" s="397">
        <f t="shared" si="1"/>
        <v>-0.29439510210495723</v>
      </c>
    </row>
    <row r="48" spans="2:10" s="390" customFormat="1" ht="15">
      <c r="B48" s="398" t="s">
        <v>176</v>
      </c>
      <c r="C48" s="392" t="s">
        <v>155</v>
      </c>
      <c r="D48" s="393">
        <v>0.4219470089299476</v>
      </c>
      <c r="E48" s="393">
        <v>0.4324686436499683</v>
      </c>
      <c r="F48" s="394">
        <f t="shared" si="0"/>
        <v>0.010521634720020712</v>
      </c>
      <c r="G48" s="395"/>
      <c r="H48" s="396" t="s">
        <v>161</v>
      </c>
      <c r="J48" s="397">
        <f t="shared" si="1"/>
        <v>-0.024329242997179534</v>
      </c>
    </row>
    <row r="49" spans="2:10" s="390" customFormat="1" ht="15">
      <c r="B49" s="398">
        <v>19.4</v>
      </c>
      <c r="C49" s="392" t="s">
        <v>55</v>
      </c>
      <c r="D49" s="393">
        <v>0.41925110530461207</v>
      </c>
      <c r="E49" s="393">
        <v>0.4338585558700181</v>
      </c>
      <c r="F49" s="394">
        <f t="shared" si="0"/>
        <v>0.014607450565406022</v>
      </c>
      <c r="G49" s="395"/>
      <c r="H49" s="396" t="s">
        <v>161</v>
      </c>
      <c r="J49" s="397">
        <f t="shared" si="1"/>
        <v>-0.03366869309771625</v>
      </c>
    </row>
    <row r="50" spans="2:10" s="390" customFormat="1" ht="15">
      <c r="B50" s="398">
        <v>21.1</v>
      </c>
      <c r="C50" s="392" t="s">
        <v>56</v>
      </c>
      <c r="D50" s="393">
        <v>0.3268202539482032</v>
      </c>
      <c r="E50" s="393">
        <v>0.32435632722221575</v>
      </c>
      <c r="F50" s="394">
        <f t="shared" si="0"/>
        <v>-0.002463926725987442</v>
      </c>
      <c r="G50" s="395"/>
      <c r="H50" s="396" t="s">
        <v>161</v>
      </c>
      <c r="J50" s="397">
        <f t="shared" si="1"/>
        <v>0.007596357829947387</v>
      </c>
    </row>
    <row r="51" spans="2:10" s="390" customFormat="1" ht="15">
      <c r="B51" s="398">
        <v>21.2</v>
      </c>
      <c r="C51" s="392" t="s">
        <v>57</v>
      </c>
      <c r="D51" s="393">
        <v>0.43261817958907034</v>
      </c>
      <c r="E51" s="393">
        <v>0.4269770350823938</v>
      </c>
      <c r="F51" s="394">
        <f t="shared" si="0"/>
        <v>-0.005641144506676521</v>
      </c>
      <c r="G51" s="395"/>
      <c r="H51" s="396" t="s">
        <v>161</v>
      </c>
      <c r="J51" s="397">
        <f t="shared" si="1"/>
        <v>0.013211821815166225</v>
      </c>
    </row>
    <row r="52" spans="2:10" s="390" customFormat="1" ht="15">
      <c r="B52" s="398">
        <v>22</v>
      </c>
      <c r="C52" s="392" t="s">
        <v>58</v>
      </c>
      <c r="D52" s="393">
        <v>0.37709210011505745</v>
      </c>
      <c r="E52" s="393">
        <v>0.39770382784284697</v>
      </c>
      <c r="F52" s="394">
        <f t="shared" si="0"/>
        <v>0.02061172772778952</v>
      </c>
      <c r="G52" s="395"/>
      <c r="H52" s="396" t="s">
        <v>161</v>
      </c>
      <c r="J52" s="397">
        <f t="shared" si="1"/>
        <v>-0.05182682761588675</v>
      </c>
    </row>
    <row r="53" spans="2:10" s="390" customFormat="1" ht="15">
      <c r="B53" s="398">
        <v>23</v>
      </c>
      <c r="C53" s="392" t="s">
        <v>59</v>
      </c>
      <c r="D53" s="393">
        <v>0.5893802344505663</v>
      </c>
      <c r="E53" s="393">
        <v>0.5781459970441097</v>
      </c>
      <c r="F53" s="394">
        <f t="shared" si="0"/>
        <v>-0.011234237406456571</v>
      </c>
      <c r="G53" s="395"/>
      <c r="H53" s="396" t="s">
        <v>161</v>
      </c>
      <c r="J53" s="397">
        <f t="shared" si="1"/>
        <v>0.01943148869644329</v>
      </c>
    </row>
    <row r="54" spans="2:10" s="390" customFormat="1" ht="15">
      <c r="B54" s="398">
        <v>24</v>
      </c>
      <c r="C54" s="392" t="s">
        <v>60</v>
      </c>
      <c r="D54" s="393">
        <v>0.6073191033273242</v>
      </c>
      <c r="E54" s="393">
        <v>0.6053069891904211</v>
      </c>
      <c r="F54" s="394">
        <f t="shared" si="0"/>
        <v>-0.0020121141369030537</v>
      </c>
      <c r="G54" s="395"/>
      <c r="H54" s="396" t="s">
        <v>161</v>
      </c>
      <c r="J54" s="397">
        <f t="shared" si="1"/>
        <v>0.0033241217643864562</v>
      </c>
    </row>
    <row r="55" spans="2:10" s="390" customFormat="1" ht="15">
      <c r="B55" s="398">
        <v>26</v>
      </c>
      <c r="C55" s="392" t="s">
        <v>61</v>
      </c>
      <c r="D55" s="393">
        <v>0.57014870884825</v>
      </c>
      <c r="E55" s="393">
        <v>0.5463447803664738</v>
      </c>
      <c r="F55" s="394">
        <f t="shared" si="0"/>
        <v>-0.02380392848177615</v>
      </c>
      <c r="G55" s="395"/>
      <c r="H55" s="396" t="s">
        <v>161</v>
      </c>
      <c r="J55" s="397">
        <f t="shared" si="1"/>
        <v>0.043569426005697576</v>
      </c>
    </row>
    <row r="56" spans="2:10" s="390" customFormat="1" ht="15">
      <c r="B56" s="398">
        <v>27</v>
      </c>
      <c r="C56" s="392" t="s">
        <v>62</v>
      </c>
      <c r="D56" s="393">
        <v>0.553078319430347</v>
      </c>
      <c r="E56" s="393">
        <v>0.5875060831167176</v>
      </c>
      <c r="F56" s="394">
        <f t="shared" si="0"/>
        <v>0.03442776368637057</v>
      </c>
      <c r="G56" s="395"/>
      <c r="H56" s="396" t="s">
        <v>161</v>
      </c>
      <c r="J56" s="397">
        <f t="shared" si="1"/>
        <v>-0.05859984207096447</v>
      </c>
    </row>
    <row r="57" spans="2:10" s="390" customFormat="1" ht="15">
      <c r="B57" s="398">
        <v>28</v>
      </c>
      <c r="C57" s="392" t="s">
        <v>63</v>
      </c>
      <c r="D57" s="393">
        <v>0.41329263224855217</v>
      </c>
      <c r="E57" s="393">
        <v>0.39118030828960126</v>
      </c>
      <c r="F57" s="394">
        <f t="shared" si="0"/>
        <v>-0.022112323958950908</v>
      </c>
      <c r="G57" s="395"/>
      <c r="H57" s="396" t="s">
        <v>161</v>
      </c>
      <c r="J57" s="397">
        <f t="shared" si="1"/>
        <v>0.05652719088963076</v>
      </c>
    </row>
    <row r="58" spans="2:10" s="390" customFormat="1" ht="15" hidden="1">
      <c r="B58" s="398">
        <v>29</v>
      </c>
      <c r="C58" s="392" t="s">
        <v>197</v>
      </c>
      <c r="D58" s="393">
        <v>-0.32534043812907043</v>
      </c>
      <c r="E58" s="393">
        <v>0.2980132450331126</v>
      </c>
      <c r="F58" s="394">
        <f t="shared" si="0"/>
        <v>0.6233536831621831</v>
      </c>
      <c r="G58" s="395"/>
      <c r="H58" s="396"/>
      <c r="J58" s="397">
        <f t="shared" si="1"/>
        <v>-2.0916979146108807</v>
      </c>
    </row>
    <row r="59" spans="2:10" s="390" customFormat="1" ht="15">
      <c r="B59" s="398">
        <v>30</v>
      </c>
      <c r="C59" s="392" t="s">
        <v>156</v>
      </c>
      <c r="D59" s="393">
        <v>1.799968568570441</v>
      </c>
      <c r="E59" s="393">
        <v>1.8049649893826065</v>
      </c>
      <c r="F59" s="394">
        <f t="shared" si="0"/>
        <v>0.0049964208121655584</v>
      </c>
      <c r="G59" s="395"/>
      <c r="H59" s="396" t="s">
        <v>161</v>
      </c>
      <c r="J59" s="397">
        <f t="shared" si="1"/>
        <v>-0.0027681538653414606</v>
      </c>
    </row>
    <row r="60" spans="2:10" s="390" customFormat="1" ht="15">
      <c r="B60" s="398">
        <v>34</v>
      </c>
      <c r="C60" s="392" t="s">
        <v>64</v>
      </c>
      <c r="D60" s="393">
        <v>0.3721787623231551</v>
      </c>
      <c r="E60" s="393">
        <v>0.4734903849857362</v>
      </c>
      <c r="F60" s="394">
        <f t="shared" si="0"/>
        <v>0.10131162266258109</v>
      </c>
      <c r="G60" s="395"/>
      <c r="H60" s="396" t="s">
        <v>161</v>
      </c>
      <c r="J60" s="399">
        <f t="shared" si="1"/>
        <v>-0.2139676451204665</v>
      </c>
    </row>
    <row r="61" spans="2:10" s="390" customFormat="1" ht="12.75" customHeight="1" hidden="1">
      <c r="B61" s="398">
        <v>35</v>
      </c>
      <c r="C61" s="392" t="s">
        <v>184</v>
      </c>
      <c r="D61" s="393">
        <v>0.44389823494630326</v>
      </c>
      <c r="E61" s="393">
        <v>0.4371003516375123</v>
      </c>
      <c r="F61" s="394">
        <f t="shared" si="0"/>
        <v>-0.006797883308790942</v>
      </c>
      <c r="G61" s="395"/>
      <c r="H61" s="396"/>
      <c r="J61" s="397">
        <f t="shared" si="1"/>
        <v>0.015552225669286157</v>
      </c>
    </row>
    <row r="62" spans="2:10" s="390" customFormat="1" ht="20.25" customHeight="1">
      <c r="B62" s="398"/>
      <c r="C62" s="336" t="s">
        <v>240</v>
      </c>
      <c r="D62" s="402">
        <v>0.43489410908473886</v>
      </c>
      <c r="E62" s="393">
        <v>0.436626678614007</v>
      </c>
      <c r="F62" s="403">
        <f>+E62-D62</f>
        <v>0.0017325695292681464</v>
      </c>
      <c r="G62" s="395"/>
      <c r="H62" s="396" t="s">
        <v>161</v>
      </c>
      <c r="J62" s="397">
        <f t="shared" si="1"/>
        <v>-0.003968079858903462</v>
      </c>
    </row>
    <row r="64" spans="2:6" ht="24" customHeight="1">
      <c r="B64" s="463" t="s">
        <v>258</v>
      </c>
      <c r="C64" s="463"/>
      <c r="D64" s="463"/>
      <c r="E64" s="463"/>
      <c r="F64" s="463"/>
    </row>
    <row r="65" spans="2:6" ht="27.75" customHeight="1">
      <c r="B65" s="463"/>
      <c r="C65" s="463"/>
      <c r="D65" s="463"/>
      <c r="E65" s="463"/>
      <c r="F65" s="463"/>
    </row>
  </sheetData>
  <sheetProtection/>
  <mergeCells count="3">
    <mergeCell ref="B1:F1"/>
    <mergeCell ref="F4:F5"/>
    <mergeCell ref="B64:F65"/>
  </mergeCells>
  <printOptions/>
  <pageMargins left="0.7" right="0.7" top="0.75" bottom="0.75" header="0.3" footer="0.3"/>
  <pageSetup fitToHeight="1" fitToWidth="1" horizontalDpi="1200" verticalDpi="1200" orientation="portrait" scale="90" r:id="rId1"/>
  <headerFooter>
    <oddFooter>&amp;LCalifornia Department of Insurance &amp;RRate Specialist Bureau-8/25/2023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="90" zoomScaleNormal="90" zoomScalePageLayoutView="0" workbookViewId="0" topLeftCell="A1">
      <selection activeCell="A1" sqref="A1:R1"/>
    </sheetView>
  </sheetViews>
  <sheetFormatPr defaultColWidth="9.28125" defaultRowHeight="12.75"/>
  <cols>
    <col min="1" max="1" width="6.28125" style="12" customWidth="1"/>
    <col min="2" max="2" width="6.140625" style="12" bestFit="1" customWidth="1"/>
    <col min="3" max="3" width="17.7109375" style="12" customWidth="1"/>
    <col min="4" max="4" width="16.28125" style="13" bestFit="1" customWidth="1"/>
    <col min="5" max="6" width="14.7109375" style="13" customWidth="1"/>
    <col min="7" max="12" width="14.7109375" style="12" customWidth="1"/>
    <col min="13" max="13" width="15.7109375" style="12" hidden="1" customWidth="1"/>
    <col min="14" max="14" width="14.7109375" style="12" hidden="1" customWidth="1"/>
    <col min="15" max="15" width="11.57421875" style="15" customWidth="1"/>
    <col min="16" max="16" width="3.28125" style="15" customWidth="1"/>
    <col min="17" max="17" width="9.57421875" style="12" hidden="1" customWidth="1"/>
    <col min="18" max="18" width="7.28125" style="12" hidden="1" customWidth="1"/>
    <col min="19" max="19" width="18.28125" style="12" hidden="1" customWidth="1"/>
    <col min="20" max="20" width="6.28125" style="12" hidden="1" customWidth="1"/>
    <col min="21" max="21" width="19.7109375" style="12" hidden="1" customWidth="1"/>
    <col min="22" max="22" width="18.28125" style="12" hidden="1" customWidth="1"/>
    <col min="23" max="23" width="9.7109375" style="12" hidden="1" customWidth="1"/>
    <col min="24" max="24" width="4.28125" style="12" hidden="1" customWidth="1"/>
    <col min="25" max="25" width="4.00390625" style="12" hidden="1" customWidth="1"/>
    <col min="26" max="26" width="1.28515625" style="12" hidden="1" customWidth="1"/>
    <col min="27" max="27" width="8.00390625" style="12" customWidth="1"/>
    <col min="28" max="29" width="9.28125" style="12" customWidth="1"/>
    <col min="30" max="16384" width="9.28125" style="12" customWidth="1"/>
  </cols>
  <sheetData>
    <row r="1" spans="1:26" s="10" customFormat="1" ht="37.5" customHeight="1" thickBot="1">
      <c r="A1" s="464" t="s">
        <v>206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5"/>
      <c r="Q1" s="464"/>
      <c r="R1" s="464"/>
      <c r="S1" s="51"/>
      <c r="T1" s="54" t="s">
        <v>143</v>
      </c>
      <c r="U1" s="54"/>
      <c r="V1" s="54"/>
      <c r="W1" s="54"/>
      <c r="X1" s="54"/>
      <c r="Y1" s="54"/>
      <c r="Z1" s="54"/>
    </row>
    <row r="2" spans="1:26" ht="6" customHeight="1">
      <c r="A2" s="151"/>
      <c r="B2" s="152"/>
      <c r="C2" s="152"/>
      <c r="D2" s="162"/>
      <c r="E2" s="162"/>
      <c r="F2" s="162"/>
      <c r="G2" s="162"/>
      <c r="H2" s="162"/>
      <c r="I2" s="162"/>
      <c r="J2" s="162"/>
      <c r="K2" s="162"/>
      <c r="L2" s="162"/>
      <c r="M2" s="153"/>
      <c r="N2" s="153"/>
      <c r="O2" s="174"/>
      <c r="P2" s="154"/>
      <c r="Q2" s="305"/>
      <c r="R2" s="155"/>
      <c r="S2" s="52"/>
      <c r="T2" s="55"/>
      <c r="U2" s="55"/>
      <c r="V2" s="55"/>
      <c r="W2" s="55"/>
      <c r="X2" s="55"/>
      <c r="Y2" s="55"/>
      <c r="Z2" s="55"/>
    </row>
    <row r="3" spans="1:26" s="11" customFormat="1" ht="15">
      <c r="A3" s="156"/>
      <c r="B3" s="157"/>
      <c r="C3" s="157"/>
      <c r="D3" s="158" t="s">
        <v>1</v>
      </c>
      <c r="E3" s="158" t="s">
        <v>2</v>
      </c>
      <c r="F3" s="158" t="s">
        <v>19</v>
      </c>
      <c r="G3" s="159" t="s">
        <v>6</v>
      </c>
      <c r="H3" s="159" t="s">
        <v>8</v>
      </c>
      <c r="I3" s="159" t="s">
        <v>9</v>
      </c>
      <c r="J3" s="159" t="s">
        <v>11</v>
      </c>
      <c r="K3" s="159" t="s">
        <v>12</v>
      </c>
      <c r="L3" s="159" t="s">
        <v>118</v>
      </c>
      <c r="M3" s="159" t="s">
        <v>193</v>
      </c>
      <c r="N3" s="159" t="s">
        <v>194</v>
      </c>
      <c r="O3" s="175" t="s">
        <v>13</v>
      </c>
      <c r="P3" s="160"/>
      <c r="Q3" s="157"/>
      <c r="R3" s="161"/>
      <c r="S3" s="67" t="s">
        <v>149</v>
      </c>
      <c r="T3" s="61" t="s">
        <v>144</v>
      </c>
      <c r="U3" s="55"/>
      <c r="V3" s="56"/>
      <c r="W3" s="56"/>
      <c r="X3" s="56"/>
      <c r="Y3" s="56"/>
      <c r="Z3" s="56"/>
    </row>
    <row r="4" spans="1:26" s="11" customFormat="1" ht="15">
      <c r="A4" s="156"/>
      <c r="B4" s="157"/>
      <c r="C4" s="157"/>
      <c r="D4" s="162">
        <v>2022</v>
      </c>
      <c r="E4" s="162">
        <v>2022</v>
      </c>
      <c r="F4" s="162">
        <v>2022</v>
      </c>
      <c r="G4" s="162">
        <v>2022</v>
      </c>
      <c r="H4" s="162">
        <v>2022</v>
      </c>
      <c r="I4" s="162">
        <v>2022</v>
      </c>
      <c r="J4" s="162">
        <v>2021</v>
      </c>
      <c r="K4" s="162">
        <v>2021</v>
      </c>
      <c r="L4" s="162">
        <v>2021</v>
      </c>
      <c r="M4" s="162"/>
      <c r="N4" s="162"/>
      <c r="O4" s="176"/>
      <c r="P4" s="163"/>
      <c r="Q4" s="164"/>
      <c r="R4" s="165"/>
      <c r="S4" s="53" t="s">
        <v>151</v>
      </c>
      <c r="T4" s="61" t="s">
        <v>145</v>
      </c>
      <c r="U4" s="55"/>
      <c r="V4" s="56"/>
      <c r="W4" s="56"/>
      <c r="X4" s="56"/>
      <c r="Y4" s="56"/>
      <c r="Z4" s="56"/>
    </row>
    <row r="5" spans="1:26" s="11" customFormat="1" ht="25.5" customHeight="1">
      <c r="A5" s="156"/>
      <c r="B5" s="157"/>
      <c r="C5" s="17" t="s">
        <v>0</v>
      </c>
      <c r="D5" s="166" t="s">
        <v>23</v>
      </c>
      <c r="E5" s="166" t="s">
        <v>24</v>
      </c>
      <c r="F5" s="166" t="s">
        <v>3</v>
      </c>
      <c r="G5" s="167" t="s">
        <v>25</v>
      </c>
      <c r="H5" s="167" t="s">
        <v>26</v>
      </c>
      <c r="I5" s="167" t="s">
        <v>117</v>
      </c>
      <c r="J5" s="167" t="s">
        <v>25</v>
      </c>
      <c r="K5" s="167" t="s">
        <v>26</v>
      </c>
      <c r="L5" s="167" t="s">
        <v>117</v>
      </c>
      <c r="M5" s="167" t="s">
        <v>148</v>
      </c>
      <c r="N5" s="167" t="s">
        <v>199</v>
      </c>
      <c r="O5" s="177" t="s">
        <v>140</v>
      </c>
      <c r="P5" s="168"/>
      <c r="Q5" s="169" t="s">
        <v>115</v>
      </c>
      <c r="R5" s="170" t="s">
        <v>104</v>
      </c>
      <c r="S5" s="303" t="s">
        <v>152</v>
      </c>
      <c r="T5" s="62"/>
      <c r="U5" s="63" t="s">
        <v>150</v>
      </c>
      <c r="V5" s="63" t="s">
        <v>189</v>
      </c>
      <c r="W5" s="64" t="s">
        <v>147</v>
      </c>
      <c r="X5" s="56"/>
      <c r="Y5" s="56"/>
      <c r="Z5" s="56"/>
    </row>
    <row r="6" spans="1:28" s="11" customFormat="1" ht="28.5" customHeight="1" thickBot="1">
      <c r="A6" s="171"/>
      <c r="B6" s="23"/>
      <c r="C6" s="23"/>
      <c r="D6" s="292"/>
      <c r="E6" s="292"/>
      <c r="F6" s="293" t="s">
        <v>105</v>
      </c>
      <c r="G6" s="292"/>
      <c r="H6" s="292"/>
      <c r="I6" s="292"/>
      <c r="J6" s="292"/>
      <c r="K6" s="292"/>
      <c r="L6" s="292"/>
      <c r="M6" s="294"/>
      <c r="N6" s="294"/>
      <c r="O6" s="295" t="s">
        <v>196</v>
      </c>
      <c r="P6" s="172"/>
      <c r="Q6" s="304" t="s">
        <v>198</v>
      </c>
      <c r="R6" s="173"/>
      <c r="S6" s="68" t="s">
        <v>153</v>
      </c>
      <c r="T6" s="65"/>
      <c r="U6" s="221" t="s">
        <v>188</v>
      </c>
      <c r="V6" s="221" t="s">
        <v>3</v>
      </c>
      <c r="W6" s="66" t="s">
        <v>146</v>
      </c>
      <c r="X6" s="56"/>
      <c r="Y6" s="56"/>
      <c r="Z6" s="56"/>
      <c r="AB6"/>
    </row>
    <row r="7" spans="1:28" ht="4.5" customHeight="1" thickBot="1">
      <c r="A7" s="100"/>
      <c r="B7" s="100"/>
      <c r="C7" s="101"/>
      <c r="D7" s="121"/>
      <c r="E7" s="121"/>
      <c r="F7" s="102"/>
      <c r="G7" s="101"/>
      <c r="H7" s="101"/>
      <c r="I7" s="101"/>
      <c r="J7" s="101"/>
      <c r="K7" s="101"/>
      <c r="L7" s="101"/>
      <c r="M7" s="101"/>
      <c r="N7" s="101"/>
      <c r="O7" s="103"/>
      <c r="P7" s="103"/>
      <c r="Q7" s="100"/>
      <c r="R7" s="100"/>
      <c r="T7" s="58"/>
      <c r="U7" s="57"/>
      <c r="V7" s="57"/>
      <c r="W7" s="57"/>
      <c r="X7" s="55"/>
      <c r="Y7" s="55"/>
      <c r="Z7" s="55"/>
      <c r="AB7"/>
    </row>
    <row r="8" spans="1:30" ht="12.75" customHeight="1">
      <c r="A8" s="139" t="s">
        <v>76</v>
      </c>
      <c r="B8" s="140"/>
      <c r="C8" s="141" t="s">
        <v>41</v>
      </c>
      <c r="D8" s="122">
        <v>925122741</v>
      </c>
      <c r="E8" s="122">
        <v>45998781</v>
      </c>
      <c r="F8" s="122">
        <f aca="true" t="shared" si="0" ref="F8:F43">D8+E8</f>
        <v>971121522</v>
      </c>
      <c r="G8" s="122">
        <f>+aoe_2022!G10</f>
        <v>1076673617</v>
      </c>
      <c r="H8" s="122">
        <f>+aoe_2022!H10</f>
        <v>52669365</v>
      </c>
      <c r="I8" s="122">
        <f>+aoe_2022!I10</f>
        <v>36876377.48352578</v>
      </c>
      <c r="J8" s="122">
        <f>+aoe_2021!G10</f>
        <v>1211969224</v>
      </c>
      <c r="K8" s="122">
        <f>+aoe_2021!H10</f>
        <v>54988504</v>
      </c>
      <c r="L8" s="122">
        <f>+aoe_2021!I10</f>
        <v>36077616.87640637</v>
      </c>
      <c r="M8" s="123">
        <f>SUM(G8:L8)</f>
        <v>2469254704.359932</v>
      </c>
      <c r="N8" s="123">
        <f>+M8/2</f>
        <v>1234627352.179966</v>
      </c>
      <c r="O8" s="178">
        <f aca="true" t="shared" si="1" ref="O8:O20">0.5*SUM(G8:L8)/F8</f>
        <v>1.2713417674415066</v>
      </c>
      <c r="P8" s="278"/>
      <c r="Q8" s="104"/>
      <c r="R8" s="104"/>
      <c r="S8" s="302">
        <f>+O8*F8</f>
        <v>1234627352.179966</v>
      </c>
      <c r="T8" s="58" t="str">
        <f>+C8</f>
        <v>FIRE</v>
      </c>
      <c r="U8" s="59">
        <f>SUM(G8:L8)</f>
        <v>2469254704.359932</v>
      </c>
      <c r="V8" s="59">
        <f>+F8</f>
        <v>971121522</v>
      </c>
      <c r="W8" s="57"/>
      <c r="X8" s="55"/>
      <c r="Y8" s="55"/>
      <c r="Z8" s="55"/>
      <c r="AB8"/>
      <c r="AD8" s="288"/>
    </row>
    <row r="9" spans="1:30" ht="12.75" customHeight="1">
      <c r="A9" s="142" t="s">
        <v>77</v>
      </c>
      <c r="B9" s="143"/>
      <c r="C9" s="144" t="s">
        <v>42</v>
      </c>
      <c r="D9" s="219">
        <v>866063931</v>
      </c>
      <c r="E9" s="219">
        <v>35923707</v>
      </c>
      <c r="F9" s="124">
        <f t="shared" si="0"/>
        <v>901987638</v>
      </c>
      <c r="G9" s="124">
        <f>+aoe_2022!G11</f>
        <v>834026227</v>
      </c>
      <c r="H9" s="124">
        <f>+aoe_2022!H11</f>
        <v>43991164</v>
      </c>
      <c r="I9" s="124">
        <f>+aoe_2022!I11</f>
        <v>28468260.14925281</v>
      </c>
      <c r="J9" s="124">
        <f>+aoe_2021!G11</f>
        <v>702555880</v>
      </c>
      <c r="K9" s="124">
        <f>+aoe_2021!H11</f>
        <v>32313307</v>
      </c>
      <c r="L9" s="124">
        <f>+aoe_2021!I11</f>
        <v>23545675.08948644</v>
      </c>
      <c r="M9" s="125">
        <f aca="true" t="shared" si="2" ref="M9:M43">SUM(G9:L9)</f>
        <v>1664900513.2387393</v>
      </c>
      <c r="N9" s="125">
        <f aca="true" t="shared" si="3" ref="N9:N43">+M9/2</f>
        <v>832450256.6193696</v>
      </c>
      <c r="O9" s="179">
        <f t="shared" si="1"/>
        <v>0.922906502870907</v>
      </c>
      <c r="P9" s="279"/>
      <c r="Q9" s="104"/>
      <c r="R9" s="104"/>
      <c r="S9" s="286">
        <f aca="true" t="shared" si="4" ref="S9:S30">+O9*F9</f>
        <v>832450256.6193696</v>
      </c>
      <c r="T9" s="58" t="str">
        <f>+C9</f>
        <v>ALLIED LINES</v>
      </c>
      <c r="U9" s="59">
        <f>SUM(G9:L9)</f>
        <v>1664900513.2387393</v>
      </c>
      <c r="V9" s="59">
        <f>+F9</f>
        <v>901987638</v>
      </c>
      <c r="W9" s="57"/>
      <c r="X9" s="55"/>
      <c r="Y9" s="55"/>
      <c r="Z9" s="55"/>
      <c r="AB9"/>
      <c r="AD9" s="288"/>
    </row>
    <row r="10" spans="1:30" ht="12.75" customHeight="1">
      <c r="A10" s="142" t="s">
        <v>180</v>
      </c>
      <c r="B10" s="143"/>
      <c r="C10" s="144" t="s">
        <v>181</v>
      </c>
      <c r="D10" s="219">
        <v>1718529</v>
      </c>
      <c r="E10" s="219">
        <v>-390355</v>
      </c>
      <c r="F10" s="124">
        <f t="shared" si="0"/>
        <v>1328174</v>
      </c>
      <c r="G10" s="124">
        <f>+aoe_2022!G12</f>
        <v>5510691</v>
      </c>
      <c r="H10" s="124">
        <f>+aoe_2022!H12</f>
        <v>7612</v>
      </c>
      <c r="I10" s="124">
        <f>+aoe_2022!I12</f>
        <v>57306.86903133003</v>
      </c>
      <c r="J10" s="124">
        <f>+aoe_2021!G12</f>
        <v>13428836</v>
      </c>
      <c r="K10" s="124">
        <f>+aoe_2021!H12</f>
        <v>455678</v>
      </c>
      <c r="L10" s="124">
        <f>+aoe_2021!I12</f>
        <v>85334.93456328541</v>
      </c>
      <c r="M10" s="125">
        <f>SUM(G10:L10)</f>
        <v>19545458.803594615</v>
      </c>
      <c r="N10" s="125">
        <f>+M10/2</f>
        <v>9772729.401797308</v>
      </c>
      <c r="O10" s="179">
        <f t="shared" si="1"/>
        <v>7.358018905502824</v>
      </c>
      <c r="P10" s="279"/>
      <c r="Q10" s="104"/>
      <c r="R10" s="104"/>
      <c r="S10" s="286">
        <f t="shared" si="4"/>
        <v>9772729.401797308</v>
      </c>
      <c r="T10" s="58"/>
      <c r="U10" s="59"/>
      <c r="V10" s="59"/>
      <c r="W10" s="57"/>
      <c r="X10" s="55"/>
      <c r="Y10" s="55"/>
      <c r="Z10" s="55"/>
      <c r="AB10"/>
      <c r="AD10" s="288"/>
    </row>
    <row r="11" spans="1:30" ht="12.75" customHeight="1">
      <c r="A11" s="142" t="s">
        <v>185</v>
      </c>
      <c r="B11" s="143"/>
      <c r="C11" s="144" t="s">
        <v>186</v>
      </c>
      <c r="D11" s="219">
        <v>10083541</v>
      </c>
      <c r="E11" s="219">
        <v>2139897</v>
      </c>
      <c r="F11" s="124">
        <f t="shared" si="0"/>
        <v>12223438</v>
      </c>
      <c r="G11" s="124">
        <f>+aoe_2022!G13</f>
        <v>26488455</v>
      </c>
      <c r="H11" s="124">
        <f>+aoe_2022!H13</f>
        <v>1591073</v>
      </c>
      <c r="I11" s="124">
        <f>+aoe_2022!I13</f>
        <v>572632.9749802155</v>
      </c>
      <c r="J11" s="124">
        <f>+aoe_2021!G13</f>
        <v>22291581</v>
      </c>
      <c r="K11" s="124">
        <f>+aoe_2021!H13</f>
        <v>568229</v>
      </c>
      <c r="L11" s="124">
        <f>+aoe_2021!I13</f>
        <v>372478.98338876455</v>
      </c>
      <c r="M11" s="125">
        <f>SUM(G11:L11)</f>
        <v>51884449.95836899</v>
      </c>
      <c r="N11" s="125">
        <f>+M11/2</f>
        <v>25942224.979184493</v>
      </c>
      <c r="O11" s="179">
        <f t="shared" si="1"/>
        <v>2.122334565707659</v>
      </c>
      <c r="P11" s="279"/>
      <c r="Q11" s="104"/>
      <c r="R11" s="104"/>
      <c r="S11" s="286">
        <f t="shared" si="4"/>
        <v>25942224.979184493</v>
      </c>
      <c r="T11" s="58"/>
      <c r="U11" s="59"/>
      <c r="V11" s="59"/>
      <c r="W11" s="57"/>
      <c r="X11" s="55"/>
      <c r="Y11" s="55"/>
      <c r="Z11" s="55"/>
      <c r="AB11"/>
      <c r="AD11" s="288"/>
    </row>
    <row r="12" spans="1:30" ht="12.75" customHeight="1">
      <c r="A12" s="142" t="s">
        <v>78</v>
      </c>
      <c r="B12" s="143"/>
      <c r="C12" s="144" t="s">
        <v>43</v>
      </c>
      <c r="D12" s="219">
        <v>84206146</v>
      </c>
      <c r="E12" s="219">
        <v>5278533</v>
      </c>
      <c r="F12" s="124">
        <f t="shared" si="0"/>
        <v>89484679</v>
      </c>
      <c r="G12" s="124">
        <f>+aoe_2022!G14</f>
        <v>159063800</v>
      </c>
      <c r="H12" s="124">
        <f>+aoe_2022!H14</f>
        <v>20013187</v>
      </c>
      <c r="I12" s="124">
        <f>+aoe_2022!I14</f>
        <v>76251561.18397912</v>
      </c>
      <c r="J12" s="124">
        <f>+aoe_2021!G14</f>
        <v>157885042</v>
      </c>
      <c r="K12" s="124">
        <f>+aoe_2021!H14</f>
        <v>23991407</v>
      </c>
      <c r="L12" s="124">
        <f>+aoe_2021!I14</f>
        <v>10980092.517119935</v>
      </c>
      <c r="M12" s="125">
        <f t="shared" si="2"/>
        <v>448185089.7010991</v>
      </c>
      <c r="N12" s="125">
        <f t="shared" si="3"/>
        <v>224092544.85054955</v>
      </c>
      <c r="O12" s="179">
        <f t="shared" si="1"/>
        <v>2.5042560062214623</v>
      </c>
      <c r="P12" s="279"/>
      <c r="Q12" s="104"/>
      <c r="R12" s="104"/>
      <c r="S12" s="286">
        <f t="shared" si="4"/>
        <v>224092544.85054955</v>
      </c>
      <c r="T12" s="58"/>
      <c r="U12" s="57"/>
      <c r="V12" s="57"/>
      <c r="W12" s="57"/>
      <c r="X12" s="55"/>
      <c r="Y12" s="55"/>
      <c r="Z12" s="55"/>
      <c r="AB12"/>
      <c r="AD12" s="288"/>
    </row>
    <row r="13" spans="1:30" ht="12.75" customHeight="1">
      <c r="A13" s="142" t="s">
        <v>79</v>
      </c>
      <c r="B13" s="143"/>
      <c r="C13" s="144" t="s">
        <v>44</v>
      </c>
      <c r="D13" s="219">
        <v>6345724716</v>
      </c>
      <c r="E13" s="219">
        <v>280036591</v>
      </c>
      <c r="F13" s="124">
        <f t="shared" si="0"/>
        <v>6625761307</v>
      </c>
      <c r="G13" s="124">
        <f>+aoe_2022!G15</f>
        <v>4724995697</v>
      </c>
      <c r="H13" s="124">
        <f>+aoe_2022!H15</f>
        <v>403734489</v>
      </c>
      <c r="I13" s="124">
        <f>+aoe_2022!I15</f>
        <v>527932121.29621094</v>
      </c>
      <c r="J13" s="124">
        <f>+aoe_2021!G15</f>
        <v>4915031483</v>
      </c>
      <c r="K13" s="124">
        <f>+aoe_2021!H15</f>
        <v>391876252</v>
      </c>
      <c r="L13" s="124">
        <f>+aoe_2021!I15</f>
        <v>499201606.7007589</v>
      </c>
      <c r="M13" s="125">
        <f t="shared" si="2"/>
        <v>11462771648.99697</v>
      </c>
      <c r="N13" s="125">
        <f t="shared" si="3"/>
        <v>5731385824.498485</v>
      </c>
      <c r="O13" s="179">
        <f t="shared" si="1"/>
        <v>0.8650154388211022</v>
      </c>
      <c r="P13" s="279"/>
      <c r="Q13" s="104"/>
      <c r="R13" s="104"/>
      <c r="S13" s="286">
        <f t="shared" si="4"/>
        <v>5731385824.498485</v>
      </c>
      <c r="T13" s="58"/>
      <c r="U13" s="57"/>
      <c r="V13" s="57"/>
      <c r="W13" s="57"/>
      <c r="X13" s="55"/>
      <c r="Y13" s="55"/>
      <c r="Z13" s="55"/>
      <c r="AB13"/>
      <c r="AD13" s="288"/>
    </row>
    <row r="14" spans="1:30" ht="12.75" customHeight="1">
      <c r="A14" s="142" t="s">
        <v>142</v>
      </c>
      <c r="B14" s="143"/>
      <c r="C14" s="144" t="s">
        <v>141</v>
      </c>
      <c r="D14" s="219">
        <f>+D15+D16</f>
        <v>3499550184</v>
      </c>
      <c r="E14" s="219">
        <f>+E15+E16</f>
        <v>430454502</v>
      </c>
      <c r="F14" s="124">
        <f t="shared" si="0"/>
        <v>3930004686</v>
      </c>
      <c r="G14" s="124">
        <f>+aoe_2022!G16</f>
        <v>5805505904</v>
      </c>
      <c r="H14" s="124">
        <f>+aoe_2022!H16</f>
        <v>1307462788</v>
      </c>
      <c r="I14" s="124">
        <f>+aoe_2022!I16</f>
        <v>361936220.08731586</v>
      </c>
      <c r="J14" s="124">
        <f>+aoe_2021!G16</f>
        <v>5490985956</v>
      </c>
      <c r="K14" s="124">
        <f>+aoe_2021!H16</f>
        <v>1345409612</v>
      </c>
      <c r="L14" s="124">
        <f>+aoe_2021!I16</f>
        <v>334183487.0553728</v>
      </c>
      <c r="M14" s="125">
        <f t="shared" si="2"/>
        <v>14645483967.142687</v>
      </c>
      <c r="N14" s="125">
        <f t="shared" si="3"/>
        <v>7322741983.571343</v>
      </c>
      <c r="O14" s="179">
        <f t="shared" si="1"/>
        <v>1.8632909038651826</v>
      </c>
      <c r="P14" s="279"/>
      <c r="Q14" s="104"/>
      <c r="R14" s="104"/>
      <c r="S14" s="286">
        <f t="shared" si="4"/>
        <v>7322741983.571343</v>
      </c>
      <c r="T14" s="58"/>
      <c r="U14" s="57"/>
      <c r="V14" s="57"/>
      <c r="W14" s="57"/>
      <c r="X14" s="55"/>
      <c r="Y14" s="55"/>
      <c r="Z14" s="55"/>
      <c r="AB14"/>
      <c r="AD14" s="288"/>
    </row>
    <row r="15" spans="1:30" ht="12.75" customHeight="1">
      <c r="A15" s="142" t="s">
        <v>80</v>
      </c>
      <c r="B15" s="143"/>
      <c r="C15" s="145" t="s">
        <v>170</v>
      </c>
      <c r="D15" s="219">
        <v>2064611801</v>
      </c>
      <c r="E15" s="219">
        <v>49337137</v>
      </c>
      <c r="F15" s="124">
        <f t="shared" si="0"/>
        <v>2113948938</v>
      </c>
      <c r="G15" s="124">
        <f>+aoe_2022!G17</f>
        <v>1838354709</v>
      </c>
      <c r="H15" s="124">
        <f>+aoe_2022!H17</f>
        <v>132010408</v>
      </c>
      <c r="I15" s="124">
        <f>+aoe_2022!I17</f>
        <v>107333520.49186976</v>
      </c>
      <c r="J15" s="124">
        <f>+aoe_2021!G17</f>
        <v>1745793557</v>
      </c>
      <c r="K15" s="124">
        <f>+aoe_2021!H17</f>
        <v>143388445</v>
      </c>
      <c r="L15" s="124">
        <f>+aoe_2021!I17</f>
        <v>103043592.85906373</v>
      </c>
      <c r="M15" s="125">
        <f t="shared" si="2"/>
        <v>4069924232.3509336</v>
      </c>
      <c r="N15" s="125">
        <f t="shared" si="3"/>
        <v>2034962116.1754668</v>
      </c>
      <c r="O15" s="179">
        <f t="shared" si="1"/>
        <v>0.9626354163978708</v>
      </c>
      <c r="P15" s="279"/>
      <c r="Q15" s="104"/>
      <c r="R15" s="104"/>
      <c r="S15" s="286">
        <f t="shared" si="4"/>
        <v>2034962116.1754668</v>
      </c>
      <c r="T15" s="58"/>
      <c r="U15" s="57"/>
      <c r="V15" s="57"/>
      <c r="W15" s="57"/>
      <c r="X15" s="55"/>
      <c r="Y15" s="55"/>
      <c r="Z15" s="55"/>
      <c r="AB15"/>
      <c r="AD15" s="288"/>
    </row>
    <row r="16" spans="1:30" ht="12.75" customHeight="1">
      <c r="A16" s="142" t="s">
        <v>81</v>
      </c>
      <c r="B16" s="143"/>
      <c r="C16" s="145" t="s">
        <v>171</v>
      </c>
      <c r="D16" s="219">
        <v>1434938383</v>
      </c>
      <c r="E16" s="219">
        <v>381117365</v>
      </c>
      <c r="F16" s="124">
        <f t="shared" si="0"/>
        <v>1816055748</v>
      </c>
      <c r="G16" s="124">
        <f>+aoe_2022!G18</f>
        <v>3967151195</v>
      </c>
      <c r="H16" s="124">
        <f>+aoe_2022!H18</f>
        <v>1175452380</v>
      </c>
      <c r="I16" s="124">
        <f>+aoe_2022!I18</f>
        <v>252788633.73095757</v>
      </c>
      <c r="J16" s="124">
        <f>+aoe_2021!G18</f>
        <v>3745192399</v>
      </c>
      <c r="K16" s="124">
        <f>+aoe_2021!H18</f>
        <v>1202021167</v>
      </c>
      <c r="L16" s="124">
        <f>+aoe_2021!I18</f>
        <v>229138793.77848303</v>
      </c>
      <c r="M16" s="125">
        <f t="shared" si="2"/>
        <v>10571744568.50944</v>
      </c>
      <c r="N16" s="125">
        <f t="shared" si="3"/>
        <v>5285872284.25472</v>
      </c>
      <c r="O16" s="179">
        <f t="shared" si="1"/>
        <v>2.910633272175695</v>
      </c>
      <c r="P16" s="280"/>
      <c r="Q16" s="104"/>
      <c r="R16" s="104"/>
      <c r="S16" s="286">
        <f t="shared" si="4"/>
        <v>5285872284.25472</v>
      </c>
      <c r="T16" s="58"/>
      <c r="U16" s="57"/>
      <c r="V16" s="57"/>
      <c r="W16" s="57"/>
      <c r="X16" s="55"/>
      <c r="Y16" s="55"/>
      <c r="Z16" s="55"/>
      <c r="AB16"/>
      <c r="AD16" s="288"/>
    </row>
    <row r="17" spans="1:30" ht="12.75" customHeight="1">
      <c r="A17" s="142" t="s">
        <v>85</v>
      </c>
      <c r="B17" s="143"/>
      <c r="C17" s="144" t="s">
        <v>48</v>
      </c>
      <c r="D17" s="219">
        <v>2021750001</v>
      </c>
      <c r="E17" s="219">
        <v>46359204</v>
      </c>
      <c r="F17" s="124">
        <f t="shared" si="0"/>
        <v>2068109205</v>
      </c>
      <c r="G17" s="124">
        <f>+aoe_2022!G19</f>
        <v>1055105813</v>
      </c>
      <c r="H17" s="124">
        <f>+aoe_2022!H19</f>
        <v>58782281</v>
      </c>
      <c r="I17" s="124">
        <f>+aoe_2022!I19</f>
        <v>63907577.283307455</v>
      </c>
      <c r="J17" s="124">
        <f>+aoe_2021!G19</f>
        <v>962523691</v>
      </c>
      <c r="K17" s="124">
        <f>+aoe_2021!H19</f>
        <v>59059446</v>
      </c>
      <c r="L17" s="124">
        <f>+aoe_2021!I19</f>
        <v>49978030.422889166</v>
      </c>
      <c r="M17" s="125">
        <f t="shared" si="2"/>
        <v>2249356838.706197</v>
      </c>
      <c r="N17" s="125">
        <f t="shared" si="3"/>
        <v>1124678419.3530984</v>
      </c>
      <c r="O17" s="179">
        <f t="shared" si="1"/>
        <v>0.5438196477410381</v>
      </c>
      <c r="P17" s="279"/>
      <c r="Q17" s="104"/>
      <c r="R17" s="104"/>
      <c r="S17" s="286">
        <f t="shared" si="4"/>
        <v>1124678419.3530984</v>
      </c>
      <c r="T17" s="58" t="str">
        <f>+C17</f>
        <v>INLAND MRN</v>
      </c>
      <c r="U17" s="59">
        <f>SUM(G17:L17)</f>
        <v>2249356838.706197</v>
      </c>
      <c r="V17" s="59">
        <f>+F17</f>
        <v>2068109205</v>
      </c>
      <c r="W17" s="57"/>
      <c r="X17" s="55"/>
      <c r="Y17" s="55"/>
      <c r="Z17" s="55"/>
      <c r="AB17"/>
      <c r="AD17" s="288"/>
    </row>
    <row r="18" spans="1:30" ht="12.75" customHeight="1">
      <c r="A18" s="142" t="s">
        <v>87</v>
      </c>
      <c r="B18" s="143"/>
      <c r="C18" s="144" t="s">
        <v>158</v>
      </c>
      <c r="D18" s="219">
        <f>+D19+D20</f>
        <v>258708502</v>
      </c>
      <c r="E18" s="219">
        <f>+E19+E20</f>
        <v>177929063</v>
      </c>
      <c r="F18" s="124">
        <f t="shared" si="0"/>
        <v>436637565</v>
      </c>
      <c r="G18" s="124">
        <f>+aoe_2022!G20</f>
        <v>1495728191</v>
      </c>
      <c r="H18" s="124">
        <f>+aoe_2022!H20</f>
        <v>534163223</v>
      </c>
      <c r="I18" s="124">
        <f>+aoe_2022!I20</f>
        <v>87290193.22231832</v>
      </c>
      <c r="J18" s="124">
        <f>+aoe_2021!G20</f>
        <v>1612021442</v>
      </c>
      <c r="K18" s="124">
        <f>+aoe_2021!H20</f>
        <v>536121703</v>
      </c>
      <c r="L18" s="124">
        <f>+aoe_2021!I20</f>
        <v>1114373268.0707896</v>
      </c>
      <c r="M18" s="125">
        <f t="shared" si="2"/>
        <v>5379698020.293108</v>
      </c>
      <c r="N18" s="125">
        <f t="shared" si="3"/>
        <v>2689849010.146554</v>
      </c>
      <c r="O18" s="179">
        <f t="shared" si="1"/>
        <v>6.160370123323114</v>
      </c>
      <c r="P18" s="279"/>
      <c r="Q18" s="105">
        <f>SUM(Q19:Q20)</f>
        <v>5396699</v>
      </c>
      <c r="R18" s="104"/>
      <c r="S18" s="286">
        <f t="shared" si="4"/>
        <v>2689849010.146554</v>
      </c>
      <c r="T18" s="58"/>
      <c r="U18" s="57"/>
      <c r="V18" s="57"/>
      <c r="W18" s="57"/>
      <c r="X18" s="55"/>
      <c r="Y18" s="55"/>
      <c r="Z18" s="55"/>
      <c r="AB18"/>
      <c r="AD18" s="288"/>
    </row>
    <row r="19" spans="1:30" ht="12.75" customHeight="1">
      <c r="A19" s="142" t="s">
        <v>135</v>
      </c>
      <c r="B19" s="143"/>
      <c r="C19" s="307" t="s">
        <v>165</v>
      </c>
      <c r="D19" s="219">
        <v>15464068</v>
      </c>
      <c r="E19" s="219">
        <v>10717838</v>
      </c>
      <c r="F19" s="124">
        <f t="shared" si="0"/>
        <v>26181906</v>
      </c>
      <c r="G19" s="124">
        <f>+aoe_2022!G21</f>
        <v>210933043</v>
      </c>
      <c r="H19" s="124">
        <f>+aoe_2022!H21</f>
        <v>78838159</v>
      </c>
      <c r="I19" s="124">
        <f>+aoe_2022!I21</f>
        <v>13327609.631385902</v>
      </c>
      <c r="J19" s="124">
        <f>+aoe_2021!G21</f>
        <v>554839131.5660512</v>
      </c>
      <c r="K19" s="124">
        <f>+aoe_2021!H21</f>
        <v>184526888.01532233</v>
      </c>
      <c r="L19" s="124">
        <f>+aoe_2021!I21</f>
        <v>383554387.1734799</v>
      </c>
      <c r="M19" s="125">
        <f t="shared" si="2"/>
        <v>1426019218.3862395</v>
      </c>
      <c r="N19" s="125">
        <f t="shared" si="3"/>
        <v>713009609.1931198</v>
      </c>
      <c r="O19" s="179">
        <f>0.5*SUM(G19:L19)/F19</f>
        <v>27.232914562947393</v>
      </c>
      <c r="P19" s="279" t="s">
        <v>207</v>
      </c>
      <c r="Q19" s="220">
        <v>1244631</v>
      </c>
      <c r="R19" s="107">
        <f>+Q19/Q18</f>
        <v>0.23062820438938691</v>
      </c>
      <c r="S19" s="286">
        <f t="shared" si="4"/>
        <v>713009609.1931198</v>
      </c>
      <c r="T19" s="58"/>
      <c r="U19" s="57"/>
      <c r="V19" s="57"/>
      <c r="W19" s="57"/>
      <c r="X19" s="55"/>
      <c r="Y19" s="55"/>
      <c r="Z19" s="55"/>
      <c r="AB19"/>
      <c r="AD19" s="288"/>
    </row>
    <row r="20" spans="1:30" ht="12.75" customHeight="1">
      <c r="A20" s="142" t="s">
        <v>136</v>
      </c>
      <c r="B20" s="143"/>
      <c r="C20" s="145" t="s">
        <v>172</v>
      </c>
      <c r="D20" s="219">
        <v>243244434</v>
      </c>
      <c r="E20" s="219">
        <v>167211225</v>
      </c>
      <c r="F20" s="124">
        <f t="shared" si="0"/>
        <v>410455659</v>
      </c>
      <c r="G20" s="124">
        <f>+aoe_2022!G22</f>
        <v>1284795148</v>
      </c>
      <c r="H20" s="124">
        <f>+aoe_2022!H22</f>
        <v>455325064</v>
      </c>
      <c r="I20" s="124">
        <f>+aoe_2022!I22</f>
        <v>72366930.2401734</v>
      </c>
      <c r="J20" s="124">
        <f>+aoe_2021!G22</f>
        <v>1057182310.4339489</v>
      </c>
      <c r="K20" s="124">
        <f>+aoe_2021!H22</f>
        <v>351594814.9846777</v>
      </c>
      <c r="L20" s="124">
        <f>+aoe_2021!I22</f>
        <v>730818880.8973098</v>
      </c>
      <c r="M20" s="125">
        <f t="shared" si="2"/>
        <v>3952083148.55611</v>
      </c>
      <c r="N20" s="125">
        <f t="shared" si="3"/>
        <v>1976041574.278055</v>
      </c>
      <c r="O20" s="179">
        <f t="shared" si="1"/>
        <v>4.814263199811444</v>
      </c>
      <c r="P20" s="279" t="s">
        <v>207</v>
      </c>
      <c r="Q20" s="220">
        <v>4152068</v>
      </c>
      <c r="R20" s="107">
        <f>+Q20/Q18</f>
        <v>0.7693717956106131</v>
      </c>
      <c r="S20" s="286">
        <f t="shared" si="4"/>
        <v>1976041574.278055</v>
      </c>
      <c r="T20" s="58"/>
      <c r="U20" s="57"/>
      <c r="V20" s="57"/>
      <c r="W20" s="57"/>
      <c r="X20" s="55"/>
      <c r="Y20" s="55"/>
      <c r="Z20" s="55"/>
      <c r="AB20"/>
      <c r="AD20" s="288"/>
    </row>
    <row r="21" spans="1:30" ht="12.75" customHeight="1">
      <c r="A21" s="142" t="s">
        <v>88</v>
      </c>
      <c r="B21" s="143"/>
      <c r="C21" s="144" t="s">
        <v>164</v>
      </c>
      <c r="D21" s="219">
        <v>34062273</v>
      </c>
      <c r="E21" s="219">
        <v>1872394</v>
      </c>
      <c r="F21" s="124">
        <f t="shared" si="0"/>
        <v>35934667</v>
      </c>
      <c r="G21" s="124">
        <f>+aoe_2022!G23</f>
        <v>95350787</v>
      </c>
      <c r="H21" s="124">
        <f>+aoe_2022!H23</f>
        <v>6209385</v>
      </c>
      <c r="I21" s="124">
        <f>+aoe_2022!I23</f>
        <v>4794747.086102542</v>
      </c>
      <c r="J21" s="124">
        <f>+aoe_2021!G23</f>
        <v>64402713</v>
      </c>
      <c r="K21" s="124">
        <f>+aoe_2021!H23</f>
        <v>4701725</v>
      </c>
      <c r="L21" s="124">
        <f>+aoe_2021!I23</f>
        <v>1870838.4508745903</v>
      </c>
      <c r="M21" s="125">
        <f t="shared" si="2"/>
        <v>177330195.53697714</v>
      </c>
      <c r="N21" s="125">
        <f t="shared" si="3"/>
        <v>88665097.76848857</v>
      </c>
      <c r="O21" s="179">
        <v>1</v>
      </c>
      <c r="P21" s="280" t="s">
        <v>161</v>
      </c>
      <c r="Q21" s="106"/>
      <c r="R21" s="104"/>
      <c r="S21" s="286">
        <f t="shared" si="4"/>
        <v>35934667</v>
      </c>
      <c r="T21" s="58"/>
      <c r="U21" s="57"/>
      <c r="V21" s="57"/>
      <c r="W21" s="57"/>
      <c r="X21" s="55"/>
      <c r="Y21" s="55"/>
      <c r="Z21" s="55"/>
      <c r="AB21"/>
      <c r="AD21" s="288"/>
    </row>
    <row r="22" spans="1:30" ht="12.75" customHeight="1">
      <c r="A22" s="142" t="s">
        <v>89</v>
      </c>
      <c r="B22" s="143"/>
      <c r="C22" s="144" t="s">
        <v>52</v>
      </c>
      <c r="D22" s="219">
        <f>+D23+D24</f>
        <v>9385644214</v>
      </c>
      <c r="E22" s="219">
        <f>+E23+E24</f>
        <v>1676377562</v>
      </c>
      <c r="F22" s="124">
        <f t="shared" si="0"/>
        <v>11062021776</v>
      </c>
      <c r="G22" s="124">
        <f>+aoe_2022!G24</f>
        <v>29299153277</v>
      </c>
      <c r="H22" s="124">
        <f>+aoe_2022!H24</f>
        <v>5097103976</v>
      </c>
      <c r="I22" s="124">
        <f>+aoe_2022!I24</f>
        <v>1361900571.0052109</v>
      </c>
      <c r="J22" s="124">
        <f>+aoe_2021!G24</f>
        <v>26402392773</v>
      </c>
      <c r="K22" s="124">
        <f>+aoe_2021!H24</f>
        <v>4703365922</v>
      </c>
      <c r="L22" s="124">
        <f>+aoe_2021!I24</f>
        <v>1334248357.3136554</v>
      </c>
      <c r="M22" s="125">
        <f t="shared" si="2"/>
        <v>68198164876.31886</v>
      </c>
      <c r="N22" s="125">
        <f t="shared" si="3"/>
        <v>34099082438.15943</v>
      </c>
      <c r="O22" s="179">
        <f aca="true" t="shared" si="5" ref="O22:O41">0.5*SUM(G22:L22)/F22</f>
        <v>3.0825361881080635</v>
      </c>
      <c r="P22" s="281"/>
      <c r="Q22" s="105"/>
      <c r="R22" s="104"/>
      <c r="S22" s="286">
        <f t="shared" si="4"/>
        <v>34099082438.15943</v>
      </c>
      <c r="T22" s="58"/>
      <c r="U22" s="57"/>
      <c r="V22" s="57"/>
      <c r="W22" s="57"/>
      <c r="X22" s="55"/>
      <c r="Y22" s="55"/>
      <c r="Z22" s="55"/>
      <c r="AB22"/>
      <c r="AD22" s="288"/>
    </row>
    <row r="23" spans="1:30" ht="12.75" customHeight="1">
      <c r="A23" s="142" t="s">
        <v>137</v>
      </c>
      <c r="B23" s="143"/>
      <c r="C23" s="145" t="s">
        <v>166</v>
      </c>
      <c r="D23" s="219">
        <v>5533645059</v>
      </c>
      <c r="E23" s="219">
        <v>817469789</v>
      </c>
      <c r="F23" s="124">
        <f t="shared" si="0"/>
        <v>6351114848</v>
      </c>
      <c r="G23" s="124">
        <f>+aoe_2022!G25</f>
        <v>18234193836</v>
      </c>
      <c r="H23" s="124">
        <f>+aoe_2022!H25</f>
        <v>2924635261</v>
      </c>
      <c r="I23" s="124">
        <f>+aoe_2022!I25</f>
        <v>876597979.1677648</v>
      </c>
      <c r="J23" s="124">
        <f>+aoe_2021!G25</f>
        <v>16672903585</v>
      </c>
      <c r="K23" s="124">
        <f>+aoe_2021!H25</f>
        <v>2845657308</v>
      </c>
      <c r="L23" s="124">
        <f>+aoe_2021!I25</f>
        <v>871197544.4673674</v>
      </c>
      <c r="M23" s="125">
        <f t="shared" si="2"/>
        <v>42425185513.63514</v>
      </c>
      <c r="N23" s="125">
        <f t="shared" si="3"/>
        <v>21212592756.81757</v>
      </c>
      <c r="O23" s="179">
        <f t="shared" si="5"/>
        <v>3.3399793996006117</v>
      </c>
      <c r="P23" s="279"/>
      <c r="Q23" s="106"/>
      <c r="R23" s="107"/>
      <c r="S23" s="286">
        <f t="shared" si="4"/>
        <v>21212592756.81757</v>
      </c>
      <c r="T23" s="58"/>
      <c r="U23" s="57"/>
      <c r="V23" s="57"/>
      <c r="W23" s="57"/>
      <c r="X23" s="55"/>
      <c r="Y23" s="55"/>
      <c r="Z23" s="55"/>
      <c r="AB23"/>
      <c r="AD23" s="288"/>
    </row>
    <row r="24" spans="1:30" ht="12.75" customHeight="1">
      <c r="A24" s="142" t="s">
        <v>159</v>
      </c>
      <c r="B24" s="143"/>
      <c r="C24" s="145" t="s">
        <v>167</v>
      </c>
      <c r="D24" s="219">
        <v>3851999155</v>
      </c>
      <c r="E24" s="219">
        <v>858907773</v>
      </c>
      <c r="F24" s="124">
        <f t="shared" si="0"/>
        <v>4710906928</v>
      </c>
      <c r="G24" s="124">
        <f>+aoe_2022!G26</f>
        <v>11064959441</v>
      </c>
      <c r="H24" s="124">
        <f>+aoe_2022!H26</f>
        <v>2172468715</v>
      </c>
      <c r="I24" s="124">
        <f>+aoe_2022!I26</f>
        <v>473877448.56402344</v>
      </c>
      <c r="J24" s="124">
        <f>+aoe_2021!G26</f>
        <v>9729489188</v>
      </c>
      <c r="K24" s="124">
        <f>+aoe_2021!H26</f>
        <v>1857708614</v>
      </c>
      <c r="L24" s="124">
        <f>+aoe_2021!I26</f>
        <v>453679160.09406</v>
      </c>
      <c r="M24" s="125">
        <f t="shared" si="2"/>
        <v>25752182566.658085</v>
      </c>
      <c r="N24" s="125">
        <f t="shared" si="3"/>
        <v>12876091283.329042</v>
      </c>
      <c r="O24" s="179">
        <f t="shared" si="5"/>
        <v>2.733251044888621</v>
      </c>
      <c r="P24" s="279"/>
      <c r="Q24" s="106"/>
      <c r="R24" s="107"/>
      <c r="S24" s="286">
        <f t="shared" si="4"/>
        <v>12876091283.329042</v>
      </c>
      <c r="T24" s="58"/>
      <c r="U24" s="57"/>
      <c r="V24" s="57"/>
      <c r="W24" s="57"/>
      <c r="X24" s="55"/>
      <c r="Y24" s="55"/>
      <c r="Z24" s="55"/>
      <c r="AB24"/>
      <c r="AD24" s="288"/>
    </row>
    <row r="25" spans="1:30" ht="12.75" customHeight="1">
      <c r="A25" s="142" t="s">
        <v>90</v>
      </c>
      <c r="B25" s="143"/>
      <c r="C25" s="144" t="s">
        <v>53</v>
      </c>
      <c r="D25" s="219">
        <f>+D26+D27</f>
        <v>243197054</v>
      </c>
      <c r="E25" s="219">
        <f>+E26+E27</f>
        <v>145466068</v>
      </c>
      <c r="F25" s="124">
        <f t="shared" si="0"/>
        <v>388663122</v>
      </c>
      <c r="G25" s="124">
        <f>+aoe_2022!G27</f>
        <v>1649731738</v>
      </c>
      <c r="H25" s="124">
        <f>+aoe_2022!H27</f>
        <v>683767731</v>
      </c>
      <c r="I25" s="124">
        <f>+aoe_2022!I27</f>
        <v>132341189.15939489</v>
      </c>
      <c r="J25" s="124">
        <f>+aoe_2021!G27</f>
        <v>1668560813</v>
      </c>
      <c r="K25" s="124">
        <f>+aoe_2021!H27</f>
        <v>693376793</v>
      </c>
      <c r="L25" s="124">
        <f>+aoe_2021!I27</f>
        <v>139821933.1235506</v>
      </c>
      <c r="M25" s="125">
        <f t="shared" si="2"/>
        <v>4967600197.282946</v>
      </c>
      <c r="N25" s="125">
        <f t="shared" si="3"/>
        <v>2483800098.641473</v>
      </c>
      <c r="O25" s="179">
        <f t="shared" si="5"/>
        <v>6.39062457446496</v>
      </c>
      <c r="P25" s="281"/>
      <c r="Q25" s="105">
        <f>SUM(Q26:Q27)</f>
        <v>1530225</v>
      </c>
      <c r="R25" s="104"/>
      <c r="S25" s="286">
        <f t="shared" si="4"/>
        <v>2483800098.641473</v>
      </c>
      <c r="T25" s="58"/>
      <c r="U25" s="57"/>
      <c r="V25" s="57"/>
      <c r="W25" s="57"/>
      <c r="X25" s="55"/>
      <c r="Y25" s="55"/>
      <c r="Z25" s="55"/>
      <c r="AB25"/>
      <c r="AD25" s="288"/>
    </row>
    <row r="26" spans="1:30" ht="12.75" customHeight="1">
      <c r="A26" s="142" t="s">
        <v>138</v>
      </c>
      <c r="B26" s="143"/>
      <c r="C26" s="145" t="s">
        <v>168</v>
      </c>
      <c r="D26" s="219">
        <v>206470570</v>
      </c>
      <c r="E26" s="219">
        <v>109129943</v>
      </c>
      <c r="F26" s="124">
        <f t="shared" si="0"/>
        <v>315600513</v>
      </c>
      <c r="G26" s="124">
        <f>+aoe_2022!G28</f>
        <v>1417753508</v>
      </c>
      <c r="H26" s="124">
        <f>+aoe_2022!H28</f>
        <v>592105135</v>
      </c>
      <c r="I26" s="124">
        <f>+aoe_2022!I28</f>
        <v>116326787.33906005</v>
      </c>
      <c r="J26" s="124">
        <f>+aoe_2021!G28</f>
        <v>1494430572.8726766</v>
      </c>
      <c r="K26" s="124">
        <f>+aoe_2021!H28</f>
        <v>621016309.3286126</v>
      </c>
      <c r="L26" s="124">
        <f>+aoe_2021!I28</f>
        <v>125230180.39858091</v>
      </c>
      <c r="M26" s="125">
        <f t="shared" si="2"/>
        <v>4366862492.93893</v>
      </c>
      <c r="N26" s="125">
        <f t="shared" si="3"/>
        <v>2183431246.469465</v>
      </c>
      <c r="O26" s="179">
        <f t="shared" si="5"/>
        <v>6.918338711538992</v>
      </c>
      <c r="P26" s="279" t="s">
        <v>207</v>
      </c>
      <c r="Q26" s="220">
        <v>1362381</v>
      </c>
      <c r="R26" s="107">
        <f>+Q26/Q25</f>
        <v>0.8903141694848796</v>
      </c>
      <c r="S26" s="286">
        <f t="shared" si="4"/>
        <v>2183431246.469465</v>
      </c>
      <c r="T26" s="58"/>
      <c r="U26" s="57"/>
      <c r="V26" s="57"/>
      <c r="W26" s="57"/>
      <c r="X26" s="55"/>
      <c r="Y26" s="55"/>
      <c r="Z26" s="55"/>
      <c r="AB26"/>
      <c r="AD26" s="288"/>
    </row>
    <row r="27" spans="1:30" ht="12.75" customHeight="1">
      <c r="A27" s="142" t="s">
        <v>139</v>
      </c>
      <c r="B27" s="143"/>
      <c r="C27" s="145" t="s">
        <v>169</v>
      </c>
      <c r="D27" s="219">
        <v>36726484</v>
      </c>
      <c r="E27" s="219">
        <v>36336125</v>
      </c>
      <c r="F27" s="124">
        <f t="shared" si="0"/>
        <v>73062609</v>
      </c>
      <c r="G27" s="124">
        <f>+aoe_2022!G29</f>
        <v>231978230</v>
      </c>
      <c r="H27" s="124">
        <f>+aoe_2022!H29</f>
        <v>91662596</v>
      </c>
      <c r="I27" s="124">
        <f>+aoe_2022!I29</f>
        <v>14621384.729017127</v>
      </c>
      <c r="J27" s="124">
        <f>+aoe_2021!G29</f>
        <v>174130240.1273234</v>
      </c>
      <c r="K27" s="124">
        <f>+aoe_2021!H29</f>
        <v>72360483.67138742</v>
      </c>
      <c r="L27" s="124">
        <f>+aoe_2021!I29</f>
        <v>14591752.724969706</v>
      </c>
      <c r="M27" s="125">
        <f t="shared" si="2"/>
        <v>599344687.2526977</v>
      </c>
      <c r="N27" s="125">
        <f t="shared" si="3"/>
        <v>299672343.62634885</v>
      </c>
      <c r="O27" s="179">
        <f t="shared" si="5"/>
        <v>4.101582844192559</v>
      </c>
      <c r="P27" s="280" t="s">
        <v>207</v>
      </c>
      <c r="Q27" s="220">
        <v>167844</v>
      </c>
      <c r="R27" s="107">
        <f>+Q27/Q25</f>
        <v>0.10968583051512032</v>
      </c>
      <c r="S27" s="286">
        <f t="shared" si="4"/>
        <v>299672343.62634885</v>
      </c>
      <c r="T27" s="58"/>
      <c r="U27" s="57"/>
      <c r="V27" s="57"/>
      <c r="W27" s="57"/>
      <c r="X27" s="55"/>
      <c r="Y27" s="55"/>
      <c r="Z27" s="55"/>
      <c r="AB27"/>
      <c r="AD27" s="288"/>
    </row>
    <row r="28" spans="1:30" ht="12.75" customHeight="1">
      <c r="A28" s="142" t="s">
        <v>175</v>
      </c>
      <c r="B28" s="143"/>
      <c r="C28" s="145" t="s">
        <v>154</v>
      </c>
      <c r="D28" s="219">
        <f>+D29+D32</f>
        <v>26287242075</v>
      </c>
      <c r="E28" s="219">
        <f>+E29+E32</f>
        <v>877901060</v>
      </c>
      <c r="F28" s="124">
        <f t="shared" si="0"/>
        <v>27165143135</v>
      </c>
      <c r="G28" s="124">
        <f>+aoe_2022!G30</f>
        <v>16438433247</v>
      </c>
      <c r="H28" s="124">
        <f>+aoe_2022!H30</f>
        <v>1918348597</v>
      </c>
      <c r="I28" s="124">
        <f>+aoe_2022!I30</f>
        <v>1871056087.3230164</v>
      </c>
      <c r="J28" s="124">
        <f>+aoe_2021!G30</f>
        <v>13866736020</v>
      </c>
      <c r="K28" s="124">
        <f>+aoe_2021!H30</f>
        <v>1753228278</v>
      </c>
      <c r="L28" s="124">
        <f>+aoe_2021!I30</f>
        <v>1633522375.0252855</v>
      </c>
      <c r="M28" s="125">
        <f>SUM(G28:L28)</f>
        <v>37481324604.3483</v>
      </c>
      <c r="N28" s="125">
        <f t="shared" si="3"/>
        <v>18740662302.17415</v>
      </c>
      <c r="O28" s="179">
        <f t="shared" si="5"/>
        <v>0.689879019191634</v>
      </c>
      <c r="P28" s="281"/>
      <c r="Q28" s="106"/>
      <c r="R28" s="107"/>
      <c r="S28" s="286">
        <f t="shared" si="4"/>
        <v>18740662302.17415</v>
      </c>
      <c r="T28" s="58"/>
      <c r="U28" s="57"/>
      <c r="V28" s="57"/>
      <c r="W28" s="57"/>
      <c r="X28" s="55"/>
      <c r="Y28" s="55"/>
      <c r="Z28" s="55"/>
      <c r="AB28"/>
      <c r="AD28" s="288"/>
    </row>
    <row r="29" spans="1:30" ht="12.75" customHeight="1">
      <c r="A29" s="142" t="s">
        <v>91</v>
      </c>
      <c r="B29" s="143"/>
      <c r="C29" s="144" t="s">
        <v>54</v>
      </c>
      <c r="D29" s="219">
        <v>14129466070</v>
      </c>
      <c r="E29" s="219">
        <v>837113450</v>
      </c>
      <c r="F29" s="124">
        <f t="shared" si="0"/>
        <v>14966579520</v>
      </c>
      <c r="G29" s="124">
        <f>+aoe_2022!G31</f>
        <v>15397176087</v>
      </c>
      <c r="H29" s="124">
        <f>+aoe_2022!H31</f>
        <v>1867299766</v>
      </c>
      <c r="I29" s="124">
        <f>+aoe_2022!I31</f>
        <v>1427404093.2000728</v>
      </c>
      <c r="J29" s="124">
        <f>+aoe_2021!G31</f>
        <v>13131964195</v>
      </c>
      <c r="K29" s="124">
        <f>+aoe_2021!H31</f>
        <v>1700292076</v>
      </c>
      <c r="L29" s="124">
        <f>+aoe_2021!I31</f>
        <v>1285429843.0343063</v>
      </c>
      <c r="M29" s="125">
        <f t="shared" si="2"/>
        <v>34809566060.23438</v>
      </c>
      <c r="N29" s="125">
        <f t="shared" si="3"/>
        <v>17404783030.11719</v>
      </c>
      <c r="O29" s="179">
        <f t="shared" si="5"/>
        <v>1.1629098690758963</v>
      </c>
      <c r="P29" s="281"/>
      <c r="Q29" s="104"/>
      <c r="R29" s="104"/>
      <c r="S29" s="286">
        <f t="shared" si="4"/>
        <v>17404783030.11719</v>
      </c>
      <c r="T29" s="58"/>
      <c r="U29" s="57"/>
      <c r="V29" s="57"/>
      <c r="W29" s="57"/>
      <c r="X29" s="55"/>
      <c r="Y29" s="55"/>
      <c r="Z29" s="55"/>
      <c r="AB29"/>
      <c r="AD29" s="288"/>
    </row>
    <row r="30" spans="1:30" ht="12.75" customHeight="1">
      <c r="A30" s="142" t="s">
        <v>176</v>
      </c>
      <c r="B30" s="143"/>
      <c r="C30" s="144" t="s">
        <v>155</v>
      </c>
      <c r="D30" s="219">
        <f>+D31+D33</f>
        <v>5359903910</v>
      </c>
      <c r="E30" s="219">
        <f>+E31+E33</f>
        <v>489237876</v>
      </c>
      <c r="F30" s="124">
        <f>D30+E30</f>
        <v>5849141786</v>
      </c>
      <c r="G30" s="124">
        <f>+aoe_2022!G32</f>
        <v>8444987602</v>
      </c>
      <c r="H30" s="124">
        <f>+aoe_2022!H32</f>
        <v>900323257</v>
      </c>
      <c r="I30" s="124">
        <f>+aoe_2022!I32</f>
        <v>363302882.40404385</v>
      </c>
      <c r="J30" s="124">
        <f>+aoe_2021!G32</f>
        <v>7022941535</v>
      </c>
      <c r="K30" s="124">
        <f>+aoe_2021!H32</f>
        <v>808981766</v>
      </c>
      <c r="L30" s="124">
        <f>+aoe_2021!I32</f>
        <v>318794207.0912821</v>
      </c>
      <c r="M30" s="125">
        <f>SUM(G30:L30)</f>
        <v>17859331249.495327</v>
      </c>
      <c r="N30" s="125">
        <f>+M30/2</f>
        <v>8929665624.747663</v>
      </c>
      <c r="O30" s="179">
        <f>0.5*SUM(G30:L30)/F30</f>
        <v>1.5266625346851634</v>
      </c>
      <c r="P30" s="281"/>
      <c r="Q30" s="104"/>
      <c r="R30" s="104"/>
      <c r="S30" s="286">
        <f t="shared" si="4"/>
        <v>8929665624.747663</v>
      </c>
      <c r="T30" s="58"/>
      <c r="U30" s="57"/>
      <c r="V30" s="57"/>
      <c r="W30" s="57"/>
      <c r="X30" s="55"/>
      <c r="Y30" s="55"/>
      <c r="Z30" s="55"/>
      <c r="AB30"/>
      <c r="AD30" s="288"/>
    </row>
    <row r="31" spans="1:30" ht="12.75" customHeight="1">
      <c r="A31" s="142" t="s">
        <v>92</v>
      </c>
      <c r="B31" s="143"/>
      <c r="C31" s="144" t="s">
        <v>55</v>
      </c>
      <c r="D31" s="219">
        <v>4558212797</v>
      </c>
      <c r="E31" s="219">
        <v>480228335</v>
      </c>
      <c r="F31" s="124">
        <f t="shared" si="0"/>
        <v>5038441132</v>
      </c>
      <c r="G31" s="124">
        <f>+aoe_2022!G33</f>
        <v>8199330359</v>
      </c>
      <c r="H31" s="124">
        <f>+aoe_2022!H33</f>
        <v>883510409</v>
      </c>
      <c r="I31" s="124">
        <f>+aoe_2022!I33</f>
        <v>333071877.4280461</v>
      </c>
      <c r="J31" s="124">
        <f>+aoe_2021!G33</f>
        <v>6793127815</v>
      </c>
      <c r="K31" s="124">
        <f>+aoe_2021!H33</f>
        <v>785242068</v>
      </c>
      <c r="L31" s="124">
        <f>+aoe_2021!I33</f>
        <v>291915047.76825887</v>
      </c>
      <c r="M31" s="125">
        <f t="shared" si="2"/>
        <v>17286197576.196304</v>
      </c>
      <c r="N31" s="125">
        <f t="shared" si="3"/>
        <v>8643098788.098152</v>
      </c>
      <c r="O31" s="179">
        <f t="shared" si="5"/>
        <v>1.715431134682582</v>
      </c>
      <c r="P31" s="281"/>
      <c r="Q31" s="104"/>
      <c r="R31" s="104"/>
      <c r="S31" s="286">
        <f aca="true" t="shared" si="6" ref="S31:S41">+O31*F31</f>
        <v>8643098788.098152</v>
      </c>
      <c r="T31" s="58"/>
      <c r="U31" s="57"/>
      <c r="V31" s="57"/>
      <c r="W31" s="57"/>
      <c r="X31" s="55"/>
      <c r="Y31" s="55"/>
      <c r="Z31" s="55"/>
      <c r="AB31"/>
      <c r="AD31" s="288"/>
    </row>
    <row r="32" spans="1:30" ht="12.75" customHeight="1">
      <c r="A32" s="142" t="s">
        <v>93</v>
      </c>
      <c r="B32" s="143"/>
      <c r="C32" s="144" t="s">
        <v>56</v>
      </c>
      <c r="D32" s="219">
        <v>12157776005</v>
      </c>
      <c r="E32" s="219">
        <v>40787610</v>
      </c>
      <c r="F32" s="124">
        <f t="shared" si="0"/>
        <v>12198563615</v>
      </c>
      <c r="G32" s="124">
        <f>+aoe_2022!G34</f>
        <v>1041257160</v>
      </c>
      <c r="H32" s="124">
        <f>+aoe_2022!H34</f>
        <v>51048831</v>
      </c>
      <c r="I32" s="124">
        <f>+aoe_2022!I34</f>
        <v>371992163.84203124</v>
      </c>
      <c r="J32" s="124">
        <f>+aoe_2021!G34</f>
        <v>734771825</v>
      </c>
      <c r="K32" s="124">
        <f>+aoe_2021!H34</f>
        <v>52936202</v>
      </c>
      <c r="L32" s="124">
        <f>+aoe_2021!I34</f>
        <v>302372582.61188126</v>
      </c>
      <c r="M32" s="125">
        <f t="shared" si="2"/>
        <v>2554378764.4539127</v>
      </c>
      <c r="N32" s="125">
        <f t="shared" si="3"/>
        <v>1277189382.2269564</v>
      </c>
      <c r="O32" s="179">
        <f t="shared" si="5"/>
        <v>0.10469998128767034</v>
      </c>
      <c r="P32" s="281"/>
      <c r="Q32" s="104"/>
      <c r="R32" s="104"/>
      <c r="S32" s="286">
        <f t="shared" si="6"/>
        <v>1277189382.2269564</v>
      </c>
      <c r="T32" s="58"/>
      <c r="U32" s="57"/>
      <c r="V32" s="57"/>
      <c r="W32" s="57"/>
      <c r="X32" s="55"/>
      <c r="Y32" s="55"/>
      <c r="Z32" s="55"/>
      <c r="AB32"/>
      <c r="AD32" s="288"/>
    </row>
    <row r="33" spans="1:30" ht="12.75" customHeight="1">
      <c r="A33" s="142" t="s">
        <v>94</v>
      </c>
      <c r="B33" s="143"/>
      <c r="C33" s="144" t="s">
        <v>57</v>
      </c>
      <c r="D33" s="219">
        <v>801691113</v>
      </c>
      <c r="E33" s="219">
        <v>9009541</v>
      </c>
      <c r="F33" s="124">
        <f t="shared" si="0"/>
        <v>810700654</v>
      </c>
      <c r="G33" s="124">
        <f>+aoe_2022!G35</f>
        <v>245657243</v>
      </c>
      <c r="H33" s="124">
        <f>+aoe_2022!H35</f>
        <v>16812848</v>
      </c>
      <c r="I33" s="124">
        <f>+aoe_2022!I35</f>
        <v>26963697.032519553</v>
      </c>
      <c r="J33" s="124">
        <f>+aoe_2021!G35</f>
        <v>229813720</v>
      </c>
      <c r="K33" s="124">
        <f>+aoe_2021!H35</f>
        <v>23739698</v>
      </c>
      <c r="L33" s="124">
        <f>+aoe_2021!I35</f>
        <v>27095240.32140946</v>
      </c>
      <c r="M33" s="125">
        <f t="shared" si="2"/>
        <v>570082446.353929</v>
      </c>
      <c r="N33" s="125">
        <f t="shared" si="3"/>
        <v>285041223.1769645</v>
      </c>
      <c r="O33" s="179">
        <f t="shared" si="5"/>
        <v>0.3515986101288683</v>
      </c>
      <c r="P33" s="281"/>
      <c r="Q33" s="104"/>
      <c r="R33" s="104"/>
      <c r="S33" s="286">
        <f t="shared" si="6"/>
        <v>285041223.1769645</v>
      </c>
      <c r="T33" s="58"/>
      <c r="U33" s="57"/>
      <c r="V33" s="57"/>
      <c r="W33" s="57"/>
      <c r="X33" s="55"/>
      <c r="Y33" s="55"/>
      <c r="Z33" s="55"/>
      <c r="AB33"/>
      <c r="AD33" s="288"/>
    </row>
    <row r="34" spans="1:30" ht="12.75" customHeight="1">
      <c r="A34" s="142" t="s">
        <v>95</v>
      </c>
      <c r="B34" s="143"/>
      <c r="C34" s="144" t="s">
        <v>58</v>
      </c>
      <c r="D34" s="219">
        <v>161627859</v>
      </c>
      <c r="E34" s="219">
        <v>8671759</v>
      </c>
      <c r="F34" s="124">
        <f t="shared" si="0"/>
        <v>170299618</v>
      </c>
      <c r="G34" s="124">
        <f>+aoe_2022!G36</f>
        <v>281352512</v>
      </c>
      <c r="H34" s="124">
        <f>+aoe_2022!H36</f>
        <v>36826751</v>
      </c>
      <c r="I34" s="124">
        <f>+aoe_2022!I36</f>
        <v>10004077.874868285</v>
      </c>
      <c r="J34" s="124">
        <f>+aoe_2021!G36</f>
        <v>251428267</v>
      </c>
      <c r="K34" s="124">
        <f>+aoe_2021!H36</f>
        <v>42195376</v>
      </c>
      <c r="L34" s="124">
        <f>+aoe_2021!I36</f>
        <v>14208078.851462519</v>
      </c>
      <c r="M34" s="125">
        <f t="shared" si="2"/>
        <v>636015062.7263308</v>
      </c>
      <c r="N34" s="125">
        <f t="shared" si="3"/>
        <v>318007531.3631654</v>
      </c>
      <c r="O34" s="179">
        <f t="shared" si="5"/>
        <v>1.8673414250592468</v>
      </c>
      <c r="P34" s="279"/>
      <c r="Q34" s="104"/>
      <c r="R34" s="104"/>
      <c r="S34" s="286">
        <f t="shared" si="6"/>
        <v>318007531.3631654</v>
      </c>
      <c r="T34" s="58"/>
      <c r="U34" s="57"/>
      <c r="V34" s="57"/>
      <c r="W34" s="57"/>
      <c r="X34" s="55"/>
      <c r="Y34" s="55"/>
      <c r="Z34" s="55"/>
      <c r="AB34"/>
      <c r="AD34" s="288"/>
    </row>
    <row r="35" spans="1:30" ht="12.75" customHeight="1">
      <c r="A35" s="142" t="s">
        <v>96</v>
      </c>
      <c r="B35" s="143"/>
      <c r="C35" s="144" t="s">
        <v>59</v>
      </c>
      <c r="D35" s="219">
        <v>69150561</v>
      </c>
      <c r="E35" s="219">
        <v>2334223</v>
      </c>
      <c r="F35" s="124">
        <f t="shared" si="0"/>
        <v>71484784</v>
      </c>
      <c r="G35" s="124">
        <f>+aoe_2022!G37</f>
        <v>163669899</v>
      </c>
      <c r="H35" s="124">
        <f>+aoe_2022!H37</f>
        <v>14838618</v>
      </c>
      <c r="I35" s="124">
        <f>+aoe_2022!I37</f>
        <v>9925137.23592023</v>
      </c>
      <c r="J35" s="124">
        <f>+aoe_2021!G37</f>
        <v>144967607</v>
      </c>
      <c r="K35" s="124">
        <f>+aoe_2021!H37</f>
        <v>13973238</v>
      </c>
      <c r="L35" s="124">
        <f>+aoe_2021!I37</f>
        <v>10202444.471663946</v>
      </c>
      <c r="M35" s="125">
        <f t="shared" si="2"/>
        <v>357576943.70758414</v>
      </c>
      <c r="N35" s="125">
        <f t="shared" si="3"/>
        <v>178788471.85379207</v>
      </c>
      <c r="O35" s="179">
        <f t="shared" si="5"/>
        <v>2.5010703236340768</v>
      </c>
      <c r="P35" s="279"/>
      <c r="Q35" s="104"/>
      <c r="R35" s="104"/>
      <c r="S35" s="286">
        <f t="shared" si="6"/>
        <v>178788471.85379207</v>
      </c>
      <c r="T35" s="58"/>
      <c r="U35" s="57"/>
      <c r="V35" s="57"/>
      <c r="W35" s="57"/>
      <c r="X35" s="55"/>
      <c r="Y35" s="55"/>
      <c r="Z35" s="55"/>
      <c r="AB35"/>
      <c r="AD35" s="288"/>
    </row>
    <row r="36" spans="1:30" ht="12.75" customHeight="1">
      <c r="A36" s="142" t="s">
        <v>97</v>
      </c>
      <c r="B36" s="143"/>
      <c r="C36" s="144" t="s">
        <v>60</v>
      </c>
      <c r="D36" s="219">
        <v>137977564</v>
      </c>
      <c r="E36" s="219">
        <v>32299413</v>
      </c>
      <c r="F36" s="124">
        <f t="shared" si="0"/>
        <v>170276977</v>
      </c>
      <c r="G36" s="124">
        <f>+aoe_2022!G38</f>
        <v>333263450</v>
      </c>
      <c r="H36" s="124">
        <f>+aoe_2022!H38</f>
        <v>72160806</v>
      </c>
      <c r="I36" s="124">
        <f>+aoe_2022!I38</f>
        <v>25539848.049934868</v>
      </c>
      <c r="J36" s="124">
        <f>+aoe_2021!G38</f>
        <v>409609640</v>
      </c>
      <c r="K36" s="124">
        <f>+aoe_2021!H38</f>
        <v>58728029</v>
      </c>
      <c r="L36" s="124">
        <f>+aoe_2021!I38</f>
        <v>30072484.249292225</v>
      </c>
      <c r="M36" s="125">
        <f t="shared" si="2"/>
        <v>929374257.2992271</v>
      </c>
      <c r="N36" s="125">
        <f t="shared" si="3"/>
        <v>464687128.64961356</v>
      </c>
      <c r="O36" s="179">
        <f t="shared" si="5"/>
        <v>2.7290073904096475</v>
      </c>
      <c r="P36" s="279"/>
      <c r="Q36" s="104"/>
      <c r="R36" s="104"/>
      <c r="S36" s="286">
        <f t="shared" si="6"/>
        <v>464687128.64961356</v>
      </c>
      <c r="T36" s="58"/>
      <c r="U36" s="57"/>
      <c r="V36" s="57"/>
      <c r="W36" s="57"/>
      <c r="X36" s="55"/>
      <c r="Y36" s="55"/>
      <c r="Z36" s="55"/>
      <c r="AB36"/>
      <c r="AD36" s="288"/>
    </row>
    <row r="37" spans="1:30" ht="12.75" customHeight="1">
      <c r="A37" s="142" t="s">
        <v>98</v>
      </c>
      <c r="B37" s="143"/>
      <c r="C37" s="144" t="s">
        <v>163</v>
      </c>
      <c r="D37" s="219">
        <v>19104306</v>
      </c>
      <c r="E37" s="219">
        <v>874821</v>
      </c>
      <c r="F37" s="124">
        <f t="shared" si="0"/>
        <v>19979127</v>
      </c>
      <c r="G37" s="124">
        <f>+aoe_2022!G39</f>
        <v>45400181</v>
      </c>
      <c r="H37" s="124">
        <f>+aoe_2022!H39</f>
        <v>4563078</v>
      </c>
      <c r="I37" s="124">
        <f>+aoe_2022!I39</f>
        <v>3893473.325781992</v>
      </c>
      <c r="J37" s="124">
        <f>+aoe_2021!G39</f>
        <v>41428198</v>
      </c>
      <c r="K37" s="124">
        <f>+aoe_2021!H39</f>
        <v>3949110</v>
      </c>
      <c r="L37" s="124">
        <f>+aoe_2021!I39</f>
        <v>3713864.9091723203</v>
      </c>
      <c r="M37" s="125">
        <f t="shared" si="2"/>
        <v>102947905.23495433</v>
      </c>
      <c r="N37" s="125">
        <f t="shared" si="3"/>
        <v>51473952.61747716</v>
      </c>
      <c r="O37" s="407">
        <f>+W37</f>
        <v>0.8098399359185047</v>
      </c>
      <c r="P37" s="279" t="s">
        <v>162</v>
      </c>
      <c r="Q37" s="104"/>
      <c r="R37" s="104"/>
      <c r="S37" s="286">
        <f t="shared" si="6"/>
        <v>16179894.929387666</v>
      </c>
      <c r="T37" s="58" t="str">
        <f>+C37</f>
        <v>BRGLRY THEFT **</v>
      </c>
      <c r="U37" s="59">
        <f>SUM(U8:U17)</f>
        <v>6383512056.304868</v>
      </c>
      <c r="V37" s="59">
        <f>SUM(V8:V17)</f>
        <v>3941218365</v>
      </c>
      <c r="W37" s="60">
        <f>0.5*(+U37/V37)</f>
        <v>0.8098399359185047</v>
      </c>
      <c r="X37" s="55"/>
      <c r="Y37" s="55"/>
      <c r="Z37" s="55"/>
      <c r="AB37"/>
      <c r="AD37" s="288"/>
    </row>
    <row r="38" spans="1:30" ht="12.75" customHeight="1">
      <c r="A38" s="142" t="s">
        <v>99</v>
      </c>
      <c r="B38" s="143"/>
      <c r="C38" s="144" t="s">
        <v>62</v>
      </c>
      <c r="D38" s="219">
        <v>54690865</v>
      </c>
      <c r="E38" s="219">
        <v>-365991</v>
      </c>
      <c r="F38" s="124">
        <f t="shared" si="0"/>
        <v>54324874</v>
      </c>
      <c r="G38" s="124">
        <f>+aoe_2022!G40</f>
        <v>79921545</v>
      </c>
      <c r="H38" s="124">
        <f>+aoe_2022!H40</f>
        <v>1919726</v>
      </c>
      <c r="I38" s="124">
        <f>+aoe_2022!I40</f>
        <v>2742244.09373333</v>
      </c>
      <c r="J38" s="124">
        <f>+aoe_2021!G40</f>
        <v>74767451</v>
      </c>
      <c r="K38" s="124">
        <f>+aoe_2021!H40</f>
        <v>2754775</v>
      </c>
      <c r="L38" s="124">
        <f>+aoe_2021!I40</f>
        <v>2388778.8813274684</v>
      </c>
      <c r="M38" s="125">
        <f t="shared" si="2"/>
        <v>164494519.9750608</v>
      </c>
      <c r="N38" s="125">
        <f t="shared" si="3"/>
        <v>82247259.9875304</v>
      </c>
      <c r="O38" s="179">
        <f t="shared" si="5"/>
        <v>1.5139889691696367</v>
      </c>
      <c r="P38" s="279"/>
      <c r="Q38" s="104"/>
      <c r="R38" s="104"/>
      <c r="S38" s="286">
        <f t="shared" si="6"/>
        <v>82247259.9875304</v>
      </c>
      <c r="T38" s="57"/>
      <c r="U38" s="57"/>
      <c r="V38" s="57"/>
      <c r="W38" s="57"/>
      <c r="X38" s="55"/>
      <c r="Y38" s="55"/>
      <c r="Z38" s="55"/>
      <c r="AB38"/>
      <c r="AD38" s="288"/>
    </row>
    <row r="39" spans="1:30" ht="12.75" customHeight="1">
      <c r="A39" s="142" t="s">
        <v>100</v>
      </c>
      <c r="B39" s="143"/>
      <c r="C39" s="144" t="s">
        <v>63</v>
      </c>
      <c r="D39" s="219">
        <v>83818484</v>
      </c>
      <c r="E39" s="219">
        <v>347287</v>
      </c>
      <c r="F39" s="124">
        <f t="shared" si="0"/>
        <v>84165771</v>
      </c>
      <c r="G39" s="124">
        <f>+aoe_2022!G41</f>
        <v>97746910</v>
      </c>
      <c r="H39" s="124">
        <f>+aoe_2022!H41</f>
        <v>4886122</v>
      </c>
      <c r="I39" s="124">
        <f>+aoe_2022!I41</f>
        <v>3203049.5692895656</v>
      </c>
      <c r="J39" s="124">
        <f>+aoe_2021!G41</f>
        <v>89448699</v>
      </c>
      <c r="K39" s="124">
        <f>+aoe_2021!H41</f>
        <v>5352541</v>
      </c>
      <c r="L39" s="124">
        <f>+aoe_2021!I41</f>
        <v>3470458.797182335</v>
      </c>
      <c r="M39" s="125">
        <f t="shared" si="2"/>
        <v>204107780.3664719</v>
      </c>
      <c r="N39" s="125">
        <f t="shared" si="3"/>
        <v>102053890.18323594</v>
      </c>
      <c r="O39" s="179">
        <f t="shared" si="5"/>
        <v>1.2125343708101473</v>
      </c>
      <c r="P39" s="279"/>
      <c r="Q39" s="104"/>
      <c r="R39" s="104"/>
      <c r="S39" s="286">
        <f t="shared" si="6"/>
        <v>102053890.18323594</v>
      </c>
      <c r="T39" s="69"/>
      <c r="U39" s="69"/>
      <c r="V39" s="69"/>
      <c r="W39" s="69"/>
      <c r="X39" s="55"/>
      <c r="Y39" s="55"/>
      <c r="Z39" s="55"/>
      <c r="AB39"/>
      <c r="AD39" s="288"/>
    </row>
    <row r="40" spans="1:30" ht="12.75" customHeight="1">
      <c r="A40" s="142" t="s">
        <v>157</v>
      </c>
      <c r="B40" s="143"/>
      <c r="C40" s="144" t="s">
        <v>156</v>
      </c>
      <c r="D40" s="219">
        <v>105868613</v>
      </c>
      <c r="E40" s="219">
        <v>-21568</v>
      </c>
      <c r="F40" s="124">
        <f t="shared" si="0"/>
        <v>105847045</v>
      </c>
      <c r="G40" s="124">
        <f>+aoe_2022!G42</f>
        <v>23222546</v>
      </c>
      <c r="H40" s="124">
        <f>+aoe_2022!H42</f>
        <v>19445</v>
      </c>
      <c r="I40" s="124">
        <f>+aoe_2022!I42</f>
        <v>391022.6655507078</v>
      </c>
      <c r="J40" s="124">
        <f>+aoe_2021!G42</f>
        <v>25882881</v>
      </c>
      <c r="K40" s="124">
        <f>+aoe_2021!H42</f>
        <v>217203</v>
      </c>
      <c r="L40" s="124">
        <f>+aoe_2021!I42</f>
        <v>251840.3110725561</v>
      </c>
      <c r="M40" s="125">
        <f t="shared" si="2"/>
        <v>49984937.97662327</v>
      </c>
      <c r="N40" s="125">
        <f t="shared" si="3"/>
        <v>24992468.988311633</v>
      </c>
      <c r="O40" s="179">
        <f t="shared" si="5"/>
        <v>0.23611872195687308</v>
      </c>
      <c r="P40" s="279"/>
      <c r="Q40" s="104"/>
      <c r="R40" s="104"/>
      <c r="S40" s="286">
        <f t="shared" si="6"/>
        <v>24992468.988311633</v>
      </c>
      <c r="T40" s="69"/>
      <c r="U40" s="69"/>
      <c r="V40" s="69"/>
      <c r="W40" s="69"/>
      <c r="X40" s="55"/>
      <c r="Y40" s="55"/>
      <c r="Z40" s="55"/>
      <c r="AB40"/>
      <c r="AD40" s="288"/>
    </row>
    <row r="41" spans="1:30" ht="12.75" customHeight="1" thickBot="1">
      <c r="A41" s="146" t="s">
        <v>102</v>
      </c>
      <c r="B41" s="147"/>
      <c r="C41" s="148" t="s">
        <v>64</v>
      </c>
      <c r="D41" s="219">
        <v>16742662</v>
      </c>
      <c r="E41" s="219">
        <v>-4649683</v>
      </c>
      <c r="F41" s="126">
        <f t="shared" si="0"/>
        <v>12092979</v>
      </c>
      <c r="G41" s="126">
        <f>+aoe_2022!G43</f>
        <v>82926951</v>
      </c>
      <c r="H41" s="126">
        <f>+aoe_2022!H43</f>
        <v>5331432</v>
      </c>
      <c r="I41" s="126">
        <f>+aoe_2022!I43</f>
        <v>8477058.351473188</v>
      </c>
      <c r="J41" s="126">
        <f>+aoe_2021!G43</f>
        <v>96298052</v>
      </c>
      <c r="K41" s="126">
        <f>+aoe_2021!H43</f>
        <v>10528730</v>
      </c>
      <c r="L41" s="126">
        <f>+aoe_2021!I43</f>
        <v>14474561.535183318</v>
      </c>
      <c r="M41" s="127">
        <f t="shared" si="2"/>
        <v>218036784.8866565</v>
      </c>
      <c r="N41" s="127">
        <f t="shared" si="3"/>
        <v>109018392.44332825</v>
      </c>
      <c r="O41" s="180">
        <f t="shared" si="5"/>
        <v>9.015015443533661</v>
      </c>
      <c r="P41" s="282"/>
      <c r="Q41" s="104"/>
      <c r="R41" s="104"/>
      <c r="S41" s="286">
        <f t="shared" si="6"/>
        <v>109018392.44332825</v>
      </c>
      <c r="AB41"/>
      <c r="AD41" s="288"/>
    </row>
    <row r="42" spans="1:30" ht="7.5" customHeight="1" thickBot="1">
      <c r="A42" s="149"/>
      <c r="B42" s="149"/>
      <c r="C42" s="150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30"/>
      <c r="P42" s="120"/>
      <c r="Q42" s="104"/>
      <c r="R42" s="104"/>
      <c r="S42" s="286"/>
      <c r="AB42"/>
      <c r="AD42" s="288"/>
    </row>
    <row r="43" spans="1:30" s="189" customFormat="1" ht="21" customHeight="1" thickBot="1">
      <c r="A43" s="181"/>
      <c r="B43" s="182"/>
      <c r="C43" s="183" t="s">
        <v>65</v>
      </c>
      <c r="D43" s="131">
        <f>SUM(D8:D41)-D14-D18-D22-D25-D28-D30</f>
        <v>55971958731</v>
      </c>
      <c r="E43" s="131">
        <f>SUM(E8:E41)-E14-E18-E22-E25-E28-E30</f>
        <v>4254075144</v>
      </c>
      <c r="F43" s="131">
        <f t="shared" si="0"/>
        <v>60226033875</v>
      </c>
      <c r="G43" s="131">
        <f>+aoe_2022!G45</f>
        <v>72218259040</v>
      </c>
      <c r="H43" s="131">
        <f>+aoe_2022!H45</f>
        <v>11168714106</v>
      </c>
      <c r="I43" s="131">
        <f>+aoe_2022!I45</f>
        <v>5032865885.323792</v>
      </c>
      <c r="J43" s="131">
        <f>+aoe_2021!G45</f>
        <v>65247557784</v>
      </c>
      <c r="K43" s="131">
        <f>+aoe_2021!H45</f>
        <v>10546137624</v>
      </c>
      <c r="L43" s="131">
        <f>+aoe_2021!I45</f>
        <v>6560159708.772352</v>
      </c>
      <c r="M43" s="184">
        <f t="shared" si="2"/>
        <v>170773694148.09613</v>
      </c>
      <c r="N43" s="184">
        <f t="shared" si="3"/>
        <v>85386847074.04807</v>
      </c>
      <c r="O43" s="185">
        <f>+S43/F43</f>
        <v>1.4064788803933808</v>
      </c>
      <c r="P43" s="186"/>
      <c r="Q43" s="187"/>
      <c r="R43" s="188"/>
      <c r="S43" s="287">
        <f>SUM(S8:S41)-S14-S18-S22-S25-S28-S30</f>
        <v>84706644695.04382</v>
      </c>
      <c r="T43" s="189" t="s">
        <v>195</v>
      </c>
      <c r="AB43"/>
      <c r="AD43" s="288"/>
    </row>
    <row r="44" spans="1:30" ht="9" customHeight="1">
      <c r="A44" s="100"/>
      <c r="B44" s="100"/>
      <c r="C44" s="100"/>
      <c r="D44" s="108"/>
      <c r="E44" s="108"/>
      <c r="F44" s="108"/>
      <c r="G44" s="109"/>
      <c r="H44" s="109"/>
      <c r="I44" s="110"/>
      <c r="J44" s="109"/>
      <c r="K44" s="109"/>
      <c r="L44" s="111"/>
      <c r="M44" s="111"/>
      <c r="N44" s="111"/>
      <c r="O44" s="112"/>
      <c r="P44" s="112"/>
      <c r="Q44" s="100"/>
      <c r="R44" s="100"/>
      <c r="S44" s="13"/>
      <c r="AD44" s="288"/>
    </row>
    <row r="45" spans="1:19" ht="11.25" customHeight="1">
      <c r="A45" s="118" t="s">
        <v>160</v>
      </c>
      <c r="B45" s="118" t="s">
        <v>161</v>
      </c>
      <c r="C45" s="119" t="s">
        <v>203</v>
      </c>
      <c r="D45" s="115"/>
      <c r="E45" s="115"/>
      <c r="F45" s="115"/>
      <c r="G45" s="116"/>
      <c r="H45" s="116"/>
      <c r="I45" s="116"/>
      <c r="J45" s="117"/>
      <c r="K45" s="113"/>
      <c r="L45" s="113"/>
      <c r="M45" s="113"/>
      <c r="N45" s="113"/>
      <c r="O45" s="114"/>
      <c r="P45" s="114"/>
      <c r="Q45" s="100"/>
      <c r="R45" s="100"/>
      <c r="S45" s="287"/>
    </row>
    <row r="46" spans="1:19" ht="11.25" customHeight="1">
      <c r="A46" s="100"/>
      <c r="B46" s="118" t="s">
        <v>162</v>
      </c>
      <c r="C46" s="116" t="s">
        <v>177</v>
      </c>
      <c r="D46" s="115"/>
      <c r="E46" s="115"/>
      <c r="F46" s="115"/>
      <c r="G46" s="116"/>
      <c r="H46" s="116"/>
      <c r="I46" s="116"/>
      <c r="J46" s="117"/>
      <c r="K46" s="113"/>
      <c r="L46" s="113"/>
      <c r="M46" s="113"/>
      <c r="N46" s="113"/>
      <c r="O46" s="114"/>
      <c r="P46" s="114"/>
      <c r="Q46" s="100"/>
      <c r="R46" s="100"/>
      <c r="S46" s="288"/>
    </row>
    <row r="47" spans="2:14" ht="14.25">
      <c r="B47" s="118" t="s">
        <v>207</v>
      </c>
      <c r="C47" s="116" t="s">
        <v>259</v>
      </c>
      <c r="J47" s="14"/>
      <c r="K47" s="14"/>
      <c r="L47" s="14"/>
      <c r="M47" s="14"/>
      <c r="N47" s="14"/>
    </row>
    <row r="48" spans="3:14" ht="14.25">
      <c r="C48" s="116"/>
      <c r="J48" s="14"/>
      <c r="K48" s="14"/>
      <c r="L48" s="14"/>
      <c r="M48" s="14"/>
      <c r="N48" s="14"/>
    </row>
    <row r="49" spans="10:14" ht="14.25">
      <c r="J49" s="14"/>
      <c r="K49" s="14"/>
      <c r="L49" s="14"/>
      <c r="M49" s="14"/>
      <c r="N49" s="14"/>
    </row>
    <row r="50" spans="10:14" ht="14.25">
      <c r="J50" s="14"/>
      <c r="K50" s="14"/>
      <c r="L50" s="14"/>
      <c r="M50" s="14"/>
      <c r="N50" s="14"/>
    </row>
    <row r="51" spans="10:14" ht="14.25">
      <c r="J51" s="14"/>
      <c r="K51" s="14"/>
      <c r="L51" s="14"/>
      <c r="M51" s="14"/>
      <c r="N51" s="14"/>
    </row>
    <row r="52" spans="10:14" ht="14.25">
      <c r="J52" s="14"/>
      <c r="K52" s="14"/>
      <c r="L52" s="14"/>
      <c r="M52" s="14"/>
      <c r="N52" s="14"/>
    </row>
    <row r="53" spans="10:14" ht="14.25">
      <c r="J53" s="14"/>
      <c r="K53" s="14"/>
      <c r="L53" s="14"/>
      <c r="M53" s="14"/>
      <c r="N53" s="14"/>
    </row>
    <row r="54" spans="10:14" ht="14.25">
      <c r="J54" s="14"/>
      <c r="K54" s="14"/>
      <c r="L54" s="14"/>
      <c r="M54" s="14"/>
      <c r="N54" s="14"/>
    </row>
    <row r="55" spans="10:14" ht="14.25">
      <c r="J55" s="14"/>
      <c r="K55" s="14"/>
      <c r="L55" s="14"/>
      <c r="M55" s="14"/>
      <c r="N55" s="14"/>
    </row>
    <row r="56" spans="10:14" ht="14.25">
      <c r="J56" s="14"/>
      <c r="K56" s="14"/>
      <c r="L56" s="14"/>
      <c r="M56" s="14"/>
      <c r="N56" s="14"/>
    </row>
    <row r="57" spans="10:14" ht="14.25">
      <c r="J57" s="14"/>
      <c r="K57" s="14"/>
      <c r="L57" s="14"/>
      <c r="M57" s="14"/>
      <c r="N57" s="14"/>
    </row>
    <row r="58" spans="10:14" ht="14.25">
      <c r="J58" s="14"/>
      <c r="K58" s="14"/>
      <c r="L58" s="14"/>
      <c r="M58" s="14"/>
      <c r="N58" s="14"/>
    </row>
    <row r="59" spans="10:14" ht="14.25">
      <c r="J59" s="14"/>
      <c r="K59" s="14"/>
      <c r="L59" s="14"/>
      <c r="M59" s="14"/>
      <c r="N59" s="14"/>
    </row>
    <row r="60" spans="10:14" ht="14.25">
      <c r="J60" s="14"/>
      <c r="K60" s="14"/>
      <c r="L60" s="14"/>
      <c r="M60" s="14"/>
      <c r="N60" s="14"/>
    </row>
    <row r="61" spans="10:14" ht="14.25">
      <c r="J61" s="14"/>
      <c r="K61" s="14"/>
      <c r="L61" s="14"/>
      <c r="M61" s="14"/>
      <c r="N61" s="14"/>
    </row>
    <row r="62" spans="10:14" ht="14.25">
      <c r="J62" s="14"/>
      <c r="K62" s="14"/>
      <c r="L62" s="14"/>
      <c r="M62" s="14"/>
      <c r="N62" s="14"/>
    </row>
    <row r="63" spans="10:14" ht="14.25">
      <c r="J63" s="14"/>
      <c r="K63" s="14"/>
      <c r="L63" s="14"/>
      <c r="M63" s="14"/>
      <c r="N63" s="14"/>
    </row>
    <row r="64" spans="10:14" ht="14.25">
      <c r="J64" s="14"/>
      <c r="K64" s="14"/>
      <c r="L64" s="14"/>
      <c r="M64" s="14"/>
      <c r="N64" s="14"/>
    </row>
    <row r="65" spans="10:14" ht="14.25">
      <c r="J65" s="14"/>
      <c r="K65" s="14"/>
      <c r="L65" s="14"/>
      <c r="M65" s="14"/>
      <c r="N65" s="14"/>
    </row>
    <row r="66" spans="10:14" ht="14.25">
      <c r="J66" s="14"/>
      <c r="K66" s="14"/>
      <c r="L66" s="14"/>
      <c r="M66" s="14"/>
      <c r="N66" s="14"/>
    </row>
    <row r="67" spans="10:14" ht="14.25">
      <c r="J67" s="14"/>
      <c r="K67" s="14"/>
      <c r="L67" s="14"/>
      <c r="M67" s="14"/>
      <c r="N67" s="14"/>
    </row>
  </sheetData>
  <sheetProtection/>
  <mergeCells count="1">
    <mergeCell ref="A1:R1"/>
  </mergeCells>
  <printOptions/>
  <pageMargins left="0.7" right="0.7" top="0.75" bottom="0.75" header="0.3" footer="0.3"/>
  <pageSetup fitToHeight="1" fitToWidth="1" horizontalDpi="1200" verticalDpi="1200" orientation="portrait" scale="51" r:id="rId1"/>
  <headerFooter>
    <oddFooter>&amp;LCalifornia Department of Insurance &amp;RRate Specialist Bureau-8/25/2023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9" width="15.7109375" style="70" customWidth="1"/>
    <col min="10" max="16384" width="9.28125" style="70" customWidth="1"/>
  </cols>
  <sheetData>
    <row r="1" spans="1:9" ht="46.5" customHeight="1">
      <c r="A1" s="466" t="s">
        <v>204</v>
      </c>
      <c r="B1" s="466"/>
      <c r="C1" s="466"/>
      <c r="D1" s="466"/>
      <c r="E1" s="466"/>
      <c r="F1" s="466"/>
      <c r="G1" s="466"/>
      <c r="H1" s="466"/>
      <c r="I1" s="466"/>
    </row>
    <row r="2" spans="1:9" ht="15" customHeight="1">
      <c r="A2" s="277"/>
      <c r="B2" s="277"/>
      <c r="C2" s="277"/>
      <c r="D2" s="306"/>
      <c r="E2" s="306"/>
      <c r="F2" s="306"/>
      <c r="G2" s="306"/>
      <c r="H2" s="306"/>
      <c r="I2" s="306"/>
    </row>
    <row r="3" spans="1:9" ht="15" customHeight="1" thickBot="1">
      <c r="A3" s="277"/>
      <c r="B3" s="277"/>
      <c r="C3" s="277"/>
      <c r="D3" s="408"/>
      <c r="E3" s="408"/>
      <c r="F3" s="408"/>
      <c r="G3" s="408"/>
      <c r="H3" s="408"/>
      <c r="I3" s="306"/>
    </row>
    <row r="4" spans="1:9" s="75" customFormat="1" ht="11.2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4" t="s">
        <v>9</v>
      </c>
    </row>
    <row r="5" spans="1:9" ht="12.75">
      <c r="A5" s="76"/>
      <c r="B5" s="77"/>
      <c r="C5" s="78"/>
      <c r="D5" s="79">
        <v>2022</v>
      </c>
      <c r="E5" s="79">
        <v>2022</v>
      </c>
      <c r="F5" s="79">
        <v>2022</v>
      </c>
      <c r="G5" s="79">
        <v>2022</v>
      </c>
      <c r="H5" s="79">
        <v>2022</v>
      </c>
      <c r="I5" s="80">
        <v>2022</v>
      </c>
    </row>
    <row r="6" spans="1:9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80" t="s">
        <v>10</v>
      </c>
    </row>
    <row r="7" spans="1:9" ht="12.75" customHeight="1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80" t="s">
        <v>7</v>
      </c>
    </row>
    <row r="8" spans="1:9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448" t="s">
        <v>116</v>
      </c>
    </row>
    <row r="9" spans="1:9" ht="11.25" customHeight="1" thickBot="1">
      <c r="A9" s="77"/>
      <c r="B9" s="77"/>
      <c r="C9" s="87"/>
      <c r="D9" s="296"/>
      <c r="E9" s="296"/>
      <c r="F9" s="296"/>
      <c r="G9" s="296"/>
      <c r="H9" s="296"/>
      <c r="I9" s="449"/>
    </row>
    <row r="10" spans="1:9" ht="12.75" customHeight="1">
      <c r="A10" s="199" t="s">
        <v>76</v>
      </c>
      <c r="B10" s="200"/>
      <c r="C10" s="201" t="s">
        <v>41</v>
      </c>
      <c r="D10" s="283">
        <v>443139</v>
      </c>
      <c r="E10" s="211">
        <v>13026898</v>
      </c>
      <c r="F10" s="211">
        <v>544281</v>
      </c>
      <c r="G10" s="211">
        <v>1076673617</v>
      </c>
      <c r="H10" s="211">
        <v>52669365</v>
      </c>
      <c r="I10" s="450">
        <f aca="true" t="shared" si="0" ref="I10:I43">+D10*(G10+H10)/(E10+F10)</f>
        <v>36876377.48352578</v>
      </c>
    </row>
    <row r="11" spans="1:9" ht="12.75" customHeight="1">
      <c r="A11" s="202" t="s">
        <v>77</v>
      </c>
      <c r="B11" s="203"/>
      <c r="C11" s="204" t="s">
        <v>42</v>
      </c>
      <c r="D11" s="284">
        <v>566369</v>
      </c>
      <c r="E11" s="214">
        <v>16638843</v>
      </c>
      <c r="F11" s="214">
        <v>829096</v>
      </c>
      <c r="G11" s="214">
        <v>834026227</v>
      </c>
      <c r="H11" s="214">
        <v>43991164</v>
      </c>
      <c r="I11" s="451">
        <f t="shared" si="0"/>
        <v>28468260.14925281</v>
      </c>
    </row>
    <row r="12" spans="1:9" ht="12.75" customHeight="1">
      <c r="A12" s="202" t="s">
        <v>180</v>
      </c>
      <c r="B12" s="203"/>
      <c r="C12" s="204" t="s">
        <v>181</v>
      </c>
      <c r="D12" s="284">
        <v>3848</v>
      </c>
      <c r="E12" s="214">
        <v>369896</v>
      </c>
      <c r="F12" s="214">
        <v>643</v>
      </c>
      <c r="G12" s="214">
        <v>5510691</v>
      </c>
      <c r="H12" s="214">
        <v>7612</v>
      </c>
      <c r="I12" s="451">
        <f t="shared" si="0"/>
        <v>57306.86903133003</v>
      </c>
    </row>
    <row r="13" spans="1:9" ht="12.75" customHeight="1">
      <c r="A13" s="202" t="s">
        <v>185</v>
      </c>
      <c r="B13" s="203"/>
      <c r="C13" s="204" t="s">
        <v>186</v>
      </c>
      <c r="D13" s="284">
        <v>15075</v>
      </c>
      <c r="E13" s="214">
        <v>703898</v>
      </c>
      <c r="F13" s="214">
        <v>35317</v>
      </c>
      <c r="G13" s="214">
        <v>26488455</v>
      </c>
      <c r="H13" s="214">
        <v>1591073</v>
      </c>
      <c r="I13" s="451">
        <f t="shared" si="0"/>
        <v>572632.9749802155</v>
      </c>
    </row>
    <row r="14" spans="1:9" ht="12.75" customHeight="1">
      <c r="A14" s="202" t="s">
        <v>78</v>
      </c>
      <c r="B14" s="203"/>
      <c r="C14" s="204" t="s">
        <v>43</v>
      </c>
      <c r="D14" s="284">
        <v>789383</v>
      </c>
      <c r="E14" s="214">
        <v>1723808</v>
      </c>
      <c r="F14" s="214">
        <v>130060</v>
      </c>
      <c r="G14" s="214">
        <v>159063800</v>
      </c>
      <c r="H14" s="214">
        <v>20013187</v>
      </c>
      <c r="I14" s="451">
        <f t="shared" si="0"/>
        <v>76251561.18397912</v>
      </c>
    </row>
    <row r="15" spans="1:9" ht="12.75" customHeight="1">
      <c r="A15" s="202" t="s">
        <v>79</v>
      </c>
      <c r="B15" s="203"/>
      <c r="C15" s="204" t="s">
        <v>44</v>
      </c>
      <c r="D15" s="284">
        <v>5364748</v>
      </c>
      <c r="E15" s="214">
        <v>48659225</v>
      </c>
      <c r="F15" s="214">
        <v>3457977</v>
      </c>
      <c r="G15" s="214">
        <v>4724995697</v>
      </c>
      <c r="H15" s="214">
        <v>403734489</v>
      </c>
      <c r="I15" s="451">
        <f t="shared" si="0"/>
        <v>527932121.29621094</v>
      </c>
    </row>
    <row r="16" spans="1:9" ht="12.75" customHeight="1">
      <c r="A16" s="202" t="s">
        <v>142</v>
      </c>
      <c r="B16" s="203"/>
      <c r="C16" s="205" t="s">
        <v>141</v>
      </c>
      <c r="D16" s="284">
        <f>+D17+D18</f>
        <v>3078471</v>
      </c>
      <c r="E16" s="214">
        <f>+E17+E18</f>
        <v>49554071</v>
      </c>
      <c r="F16" s="214">
        <f>+F17+F18</f>
        <v>10945726</v>
      </c>
      <c r="G16" s="214">
        <f>+G17+G18</f>
        <v>5805505904</v>
      </c>
      <c r="H16" s="214">
        <f>+H17+H18</f>
        <v>1307462788</v>
      </c>
      <c r="I16" s="452">
        <f t="shared" si="0"/>
        <v>361936220.08731586</v>
      </c>
    </row>
    <row r="17" spans="1:9" ht="12.75" customHeight="1">
      <c r="A17" s="202" t="s">
        <v>80</v>
      </c>
      <c r="B17" s="203"/>
      <c r="C17" s="205" t="s">
        <v>45</v>
      </c>
      <c r="D17" s="284">
        <v>1070978</v>
      </c>
      <c r="E17" s="214">
        <v>18426559</v>
      </c>
      <c r="F17" s="214">
        <v>1233820</v>
      </c>
      <c r="G17" s="214">
        <v>1838354709</v>
      </c>
      <c r="H17" s="214">
        <v>132010408</v>
      </c>
      <c r="I17" s="451">
        <f t="shared" si="0"/>
        <v>107333520.49186976</v>
      </c>
    </row>
    <row r="18" spans="1:9" ht="12.75" customHeight="1">
      <c r="A18" s="202" t="s">
        <v>81</v>
      </c>
      <c r="B18" s="203"/>
      <c r="C18" s="205" t="s">
        <v>46</v>
      </c>
      <c r="D18" s="284">
        <v>2007493</v>
      </c>
      <c r="E18" s="214">
        <v>31127512</v>
      </c>
      <c r="F18" s="214">
        <v>9711906</v>
      </c>
      <c r="G18" s="214">
        <v>3967151195</v>
      </c>
      <c r="H18" s="214">
        <v>1175452380</v>
      </c>
      <c r="I18" s="451">
        <f t="shared" si="0"/>
        <v>252788633.73095757</v>
      </c>
    </row>
    <row r="19" spans="1:9" ht="12.75" customHeight="1">
      <c r="A19" s="202" t="s">
        <v>85</v>
      </c>
      <c r="B19" s="203"/>
      <c r="C19" s="204" t="s">
        <v>48</v>
      </c>
      <c r="D19" s="284">
        <v>504271</v>
      </c>
      <c r="E19" s="214">
        <v>8335317</v>
      </c>
      <c r="F19" s="214">
        <v>453961</v>
      </c>
      <c r="G19" s="214">
        <v>1055105813</v>
      </c>
      <c r="H19" s="214">
        <v>58782281</v>
      </c>
      <c r="I19" s="451">
        <f t="shared" si="0"/>
        <v>63907577.283307455</v>
      </c>
    </row>
    <row r="20" spans="1:9" ht="12.75" customHeight="1">
      <c r="A20" s="202" t="s">
        <v>87</v>
      </c>
      <c r="B20" s="203"/>
      <c r="C20" s="205" t="s">
        <v>158</v>
      </c>
      <c r="D20" s="284">
        <f>+D21+D22</f>
        <v>1504755</v>
      </c>
      <c r="E20" s="214">
        <f>+E21+E22</f>
        <v>27087490</v>
      </c>
      <c r="F20" s="214">
        <f>+F21+F22</f>
        <v>7904863</v>
      </c>
      <c r="G20" s="214">
        <f>+G21+G22</f>
        <v>1495728191</v>
      </c>
      <c r="H20" s="214">
        <f>+H21+H22</f>
        <v>534163223</v>
      </c>
      <c r="I20" s="451">
        <f t="shared" si="0"/>
        <v>87290193.22231832</v>
      </c>
    </row>
    <row r="21" spans="1:9" ht="12.75" customHeight="1">
      <c r="A21" s="202" t="s">
        <v>135</v>
      </c>
      <c r="B21" s="203"/>
      <c r="C21" s="205" t="s">
        <v>165</v>
      </c>
      <c r="D21" s="284">
        <v>516871</v>
      </c>
      <c r="E21" s="214">
        <v>8659501</v>
      </c>
      <c r="F21" s="214">
        <v>2578398</v>
      </c>
      <c r="G21" s="214">
        <v>210933043</v>
      </c>
      <c r="H21" s="214">
        <v>78838159</v>
      </c>
      <c r="I21" s="452">
        <f t="shared" si="0"/>
        <v>13327609.631385902</v>
      </c>
    </row>
    <row r="22" spans="1:9" ht="12.75" customHeight="1">
      <c r="A22" s="202" t="s">
        <v>136</v>
      </c>
      <c r="B22" s="203"/>
      <c r="C22" s="205" t="s">
        <v>172</v>
      </c>
      <c r="D22" s="284">
        <v>987884</v>
      </c>
      <c r="E22" s="214">
        <v>18427989</v>
      </c>
      <c r="F22" s="214">
        <v>5326465</v>
      </c>
      <c r="G22" s="214">
        <v>1284795148</v>
      </c>
      <c r="H22" s="214">
        <v>455325064</v>
      </c>
      <c r="I22" s="452">
        <f t="shared" si="0"/>
        <v>72366930.2401734</v>
      </c>
    </row>
    <row r="23" spans="1:9" ht="12.75" customHeight="1">
      <c r="A23" s="202">
        <v>12</v>
      </c>
      <c r="B23" s="203"/>
      <c r="C23" s="204" t="s">
        <v>51</v>
      </c>
      <c r="D23" s="284">
        <v>17246</v>
      </c>
      <c r="E23" s="214">
        <v>343731</v>
      </c>
      <c r="F23" s="214">
        <v>21566</v>
      </c>
      <c r="G23" s="214">
        <v>95350787</v>
      </c>
      <c r="H23" s="214">
        <v>6209385</v>
      </c>
      <c r="I23" s="451">
        <f t="shared" si="0"/>
        <v>4794747.086102542</v>
      </c>
    </row>
    <row r="24" spans="1:9" ht="12.75" customHeight="1">
      <c r="A24" s="202" t="s">
        <v>89</v>
      </c>
      <c r="B24" s="203"/>
      <c r="C24" s="204" t="s">
        <v>52</v>
      </c>
      <c r="D24" s="284">
        <f>+D25+D26</f>
        <v>9411764</v>
      </c>
      <c r="E24" s="214">
        <f>+E25+E26</f>
        <v>202133202</v>
      </c>
      <c r="F24" s="214">
        <f>+F25+F26</f>
        <v>35570976</v>
      </c>
      <c r="G24" s="214">
        <f>+G25+G26</f>
        <v>29299153277</v>
      </c>
      <c r="H24" s="214">
        <f>+H25+H26</f>
        <v>5097103976</v>
      </c>
      <c r="I24" s="452">
        <f t="shared" si="0"/>
        <v>1361900571.0052109</v>
      </c>
    </row>
    <row r="25" spans="1:9" ht="12.75" customHeight="1">
      <c r="A25" s="202" t="s">
        <v>137</v>
      </c>
      <c r="B25" s="203"/>
      <c r="C25" s="205" t="s">
        <v>166</v>
      </c>
      <c r="D25" s="284">
        <v>6638856</v>
      </c>
      <c r="E25" s="214">
        <v>137865069</v>
      </c>
      <c r="F25" s="214">
        <v>22379904</v>
      </c>
      <c r="G25" s="214">
        <v>18234193836</v>
      </c>
      <c r="H25" s="214">
        <v>2924635261</v>
      </c>
      <c r="I25" s="451">
        <f t="shared" si="0"/>
        <v>876597979.1677648</v>
      </c>
    </row>
    <row r="26" spans="1:9" ht="12.75" customHeight="1">
      <c r="A26" s="202" t="s">
        <v>159</v>
      </c>
      <c r="B26" s="203"/>
      <c r="C26" s="205" t="s">
        <v>167</v>
      </c>
      <c r="D26" s="284">
        <v>2772908</v>
      </c>
      <c r="E26" s="214">
        <v>64268133</v>
      </c>
      <c r="F26" s="214">
        <v>13191072</v>
      </c>
      <c r="G26" s="214">
        <v>11064959441</v>
      </c>
      <c r="H26" s="214">
        <v>2172468715</v>
      </c>
      <c r="I26" s="451">
        <f t="shared" si="0"/>
        <v>473877448.56402344</v>
      </c>
    </row>
    <row r="27" spans="1:9" ht="12.75" customHeight="1">
      <c r="A27" s="202">
        <v>18</v>
      </c>
      <c r="B27" s="203"/>
      <c r="C27" s="204" t="s">
        <v>53</v>
      </c>
      <c r="D27" s="284">
        <f>+D28+D29</f>
        <v>1060279</v>
      </c>
      <c r="E27" s="214">
        <f>+E28+E29</f>
        <v>13197689</v>
      </c>
      <c r="F27" s="214">
        <f>+F28+F29</f>
        <v>5497628</v>
      </c>
      <c r="G27" s="214">
        <f>+G28+G29</f>
        <v>1649731738</v>
      </c>
      <c r="H27" s="214">
        <f>+H28+H29</f>
        <v>683767731</v>
      </c>
      <c r="I27" s="451">
        <f t="shared" si="0"/>
        <v>132341189.15939489</v>
      </c>
    </row>
    <row r="28" spans="1:9" ht="12.75" customHeight="1">
      <c r="A28" s="202" t="s">
        <v>138</v>
      </c>
      <c r="B28" s="203"/>
      <c r="C28" s="205" t="s">
        <v>168</v>
      </c>
      <c r="D28" s="284">
        <v>982837</v>
      </c>
      <c r="E28" s="214">
        <v>11891083</v>
      </c>
      <c r="F28" s="214">
        <v>5090074</v>
      </c>
      <c r="G28" s="214">
        <v>1417753508</v>
      </c>
      <c r="H28" s="214">
        <v>592105135</v>
      </c>
      <c r="I28" s="452">
        <f t="shared" si="0"/>
        <v>116326787.33906005</v>
      </c>
    </row>
    <row r="29" spans="1:9" ht="12.75" customHeight="1">
      <c r="A29" s="202" t="s">
        <v>139</v>
      </c>
      <c r="B29" s="203"/>
      <c r="C29" s="205" t="s">
        <v>169</v>
      </c>
      <c r="D29" s="284">
        <v>77442</v>
      </c>
      <c r="E29" s="214">
        <v>1306606</v>
      </c>
      <c r="F29" s="214">
        <v>407554</v>
      </c>
      <c r="G29" s="214">
        <v>231978230</v>
      </c>
      <c r="H29" s="214">
        <v>91662596</v>
      </c>
      <c r="I29" s="452">
        <f t="shared" si="0"/>
        <v>14621384.729017127</v>
      </c>
    </row>
    <row r="30" spans="1:9" ht="12.75" customHeight="1">
      <c r="A30" s="202" t="s">
        <v>175</v>
      </c>
      <c r="B30" s="203"/>
      <c r="C30" s="205" t="s">
        <v>154</v>
      </c>
      <c r="D30" s="284">
        <f>+D31+D34</f>
        <v>14351835</v>
      </c>
      <c r="E30" s="214">
        <f>+E31+E34</f>
        <v>127000679</v>
      </c>
      <c r="F30" s="214">
        <f>+F31+F34</f>
        <v>13804028</v>
      </c>
      <c r="G30" s="214">
        <f>+G31+G34</f>
        <v>16438433247</v>
      </c>
      <c r="H30" s="214">
        <f>+H31+H34</f>
        <v>1918348597</v>
      </c>
      <c r="I30" s="452">
        <f t="shared" si="0"/>
        <v>1871056087.3230164</v>
      </c>
    </row>
    <row r="31" spans="1:9" ht="12.75" customHeight="1">
      <c r="A31" s="202">
        <v>19.2</v>
      </c>
      <c r="B31" s="203"/>
      <c r="C31" s="204" t="s">
        <v>54</v>
      </c>
      <c r="D31" s="284">
        <v>10772598</v>
      </c>
      <c r="E31" s="214">
        <v>116883564</v>
      </c>
      <c r="F31" s="214">
        <v>13411185</v>
      </c>
      <c r="G31" s="214">
        <v>15397176087</v>
      </c>
      <c r="H31" s="214">
        <v>1867299766</v>
      </c>
      <c r="I31" s="451">
        <f t="shared" si="0"/>
        <v>1427404093.2000728</v>
      </c>
    </row>
    <row r="32" spans="1:9" ht="12.75" customHeight="1">
      <c r="A32" s="202" t="s">
        <v>176</v>
      </c>
      <c r="B32" s="203"/>
      <c r="C32" s="204" t="s">
        <v>155</v>
      </c>
      <c r="D32" s="284">
        <f>+D33+D35</f>
        <v>2680518</v>
      </c>
      <c r="E32" s="214">
        <f>+E33+E35</f>
        <v>62033411</v>
      </c>
      <c r="F32" s="214">
        <f>+F33+F35</f>
        <v>6918076</v>
      </c>
      <c r="G32" s="214">
        <f>+G33+G35</f>
        <v>8444987602</v>
      </c>
      <c r="H32" s="214">
        <f>+H33+H35</f>
        <v>900323257</v>
      </c>
      <c r="I32" s="453">
        <f t="shared" si="0"/>
        <v>363302882.40404385</v>
      </c>
    </row>
    <row r="33" spans="1:9" ht="12.75" customHeight="1">
      <c r="A33" s="202">
        <v>19.4</v>
      </c>
      <c r="B33" s="203"/>
      <c r="C33" s="204" t="s">
        <v>55</v>
      </c>
      <c r="D33" s="284">
        <v>2444086</v>
      </c>
      <c r="E33" s="214">
        <v>59924419</v>
      </c>
      <c r="F33" s="214">
        <v>6725591</v>
      </c>
      <c r="G33" s="214">
        <v>8199330359</v>
      </c>
      <c r="H33" s="214">
        <v>883510409</v>
      </c>
      <c r="I33" s="451">
        <f t="shared" si="0"/>
        <v>333071877.4280461</v>
      </c>
    </row>
    <row r="34" spans="1:9" ht="12.75" customHeight="1">
      <c r="A34" s="202">
        <v>21.1</v>
      </c>
      <c r="B34" s="203"/>
      <c r="C34" s="204" t="s">
        <v>56</v>
      </c>
      <c r="D34" s="284">
        <v>3579237</v>
      </c>
      <c r="E34" s="214">
        <v>10117115</v>
      </c>
      <c r="F34" s="214">
        <v>392843</v>
      </c>
      <c r="G34" s="214">
        <v>1041257160</v>
      </c>
      <c r="H34" s="214">
        <v>51048831</v>
      </c>
      <c r="I34" s="451">
        <f t="shared" si="0"/>
        <v>371992163.84203124</v>
      </c>
    </row>
    <row r="35" spans="1:9" ht="12.75" customHeight="1">
      <c r="A35" s="202">
        <v>21.2</v>
      </c>
      <c r="B35" s="203"/>
      <c r="C35" s="204" t="s">
        <v>57</v>
      </c>
      <c r="D35" s="284">
        <v>236432</v>
      </c>
      <c r="E35" s="214">
        <v>2108992</v>
      </c>
      <c r="F35" s="214">
        <v>192485</v>
      </c>
      <c r="G35" s="214">
        <v>245657243</v>
      </c>
      <c r="H35" s="214">
        <v>16812848</v>
      </c>
      <c r="I35" s="451">
        <f t="shared" si="0"/>
        <v>26963697.032519553</v>
      </c>
    </row>
    <row r="36" spans="1:9" ht="12.75" customHeight="1">
      <c r="A36" s="206">
        <v>22</v>
      </c>
      <c r="B36" s="203"/>
      <c r="C36" s="204" t="s">
        <v>58</v>
      </c>
      <c r="D36" s="284">
        <v>103659</v>
      </c>
      <c r="E36" s="214">
        <v>2899452</v>
      </c>
      <c r="F36" s="214">
        <v>397418</v>
      </c>
      <c r="G36" s="214">
        <v>281352512</v>
      </c>
      <c r="H36" s="214">
        <v>36826751</v>
      </c>
      <c r="I36" s="451">
        <f t="shared" si="0"/>
        <v>10004077.874868285</v>
      </c>
    </row>
    <row r="37" spans="1:9" ht="12.75" customHeight="1">
      <c r="A37" s="206">
        <v>23</v>
      </c>
      <c r="B37" s="203"/>
      <c r="C37" s="204" t="s">
        <v>59</v>
      </c>
      <c r="D37" s="284">
        <v>77979</v>
      </c>
      <c r="E37" s="214">
        <v>1269371</v>
      </c>
      <c r="F37" s="214">
        <v>133120</v>
      </c>
      <c r="G37" s="214">
        <v>163669899</v>
      </c>
      <c r="H37" s="214">
        <v>14838618</v>
      </c>
      <c r="I37" s="451">
        <f t="shared" si="0"/>
        <v>9925137.23592023</v>
      </c>
    </row>
    <row r="38" spans="1:9" ht="12.75" customHeight="1">
      <c r="A38" s="206">
        <v>24</v>
      </c>
      <c r="B38" s="203"/>
      <c r="C38" s="204" t="s">
        <v>60</v>
      </c>
      <c r="D38" s="284">
        <v>272939</v>
      </c>
      <c r="E38" s="214">
        <v>3738701</v>
      </c>
      <c r="F38" s="214">
        <v>593983</v>
      </c>
      <c r="G38" s="214">
        <v>333263450</v>
      </c>
      <c r="H38" s="214">
        <v>72160806</v>
      </c>
      <c r="I38" s="451">
        <f t="shared" si="0"/>
        <v>25539848.049934868</v>
      </c>
    </row>
    <row r="39" spans="1:9" ht="12.75" customHeight="1">
      <c r="A39" s="206">
        <v>26</v>
      </c>
      <c r="B39" s="203"/>
      <c r="C39" s="204" t="s">
        <v>61</v>
      </c>
      <c r="D39" s="284">
        <v>30030</v>
      </c>
      <c r="E39" s="214">
        <v>349333</v>
      </c>
      <c r="F39" s="214">
        <v>36029</v>
      </c>
      <c r="G39" s="214">
        <v>45400181</v>
      </c>
      <c r="H39" s="214">
        <v>4563078</v>
      </c>
      <c r="I39" s="451">
        <f t="shared" si="0"/>
        <v>3893473.325781992</v>
      </c>
    </row>
    <row r="40" spans="1:9" ht="12.75" customHeight="1">
      <c r="A40" s="206">
        <v>27</v>
      </c>
      <c r="B40" s="203"/>
      <c r="C40" s="204" t="s">
        <v>62</v>
      </c>
      <c r="D40" s="284">
        <v>35426</v>
      </c>
      <c r="E40" s="214">
        <v>1027062</v>
      </c>
      <c r="F40" s="214">
        <v>30214</v>
      </c>
      <c r="G40" s="214">
        <v>79921545</v>
      </c>
      <c r="H40" s="214">
        <v>1919726</v>
      </c>
      <c r="I40" s="451">
        <f t="shared" si="0"/>
        <v>2742244.09373333</v>
      </c>
    </row>
    <row r="41" spans="1:9" ht="12.75" customHeight="1">
      <c r="A41" s="202" t="s">
        <v>100</v>
      </c>
      <c r="B41" s="203"/>
      <c r="C41" s="204" t="s">
        <v>63</v>
      </c>
      <c r="D41" s="284">
        <v>38854</v>
      </c>
      <c r="E41" s="214">
        <v>1192843</v>
      </c>
      <c r="F41" s="214">
        <v>52128</v>
      </c>
      <c r="G41" s="214">
        <v>97746910</v>
      </c>
      <c r="H41" s="214">
        <v>4886122</v>
      </c>
      <c r="I41" s="451">
        <f t="shared" si="0"/>
        <v>3203049.5692895656</v>
      </c>
    </row>
    <row r="42" spans="1:9" ht="12.75" customHeight="1">
      <c r="A42" s="202" t="s">
        <v>157</v>
      </c>
      <c r="B42" s="203"/>
      <c r="C42" s="204" t="s">
        <v>156</v>
      </c>
      <c r="D42" s="284">
        <v>5171</v>
      </c>
      <c r="E42" s="214">
        <v>306108</v>
      </c>
      <c r="F42" s="214">
        <v>1251</v>
      </c>
      <c r="G42" s="214">
        <v>23222546</v>
      </c>
      <c r="H42" s="214">
        <v>19445</v>
      </c>
      <c r="I42" s="451">
        <f t="shared" si="0"/>
        <v>391022.6655507078</v>
      </c>
    </row>
    <row r="43" spans="1:9" ht="12.75" customHeight="1" thickBot="1">
      <c r="A43" s="207" t="s">
        <v>102</v>
      </c>
      <c r="B43" s="208"/>
      <c r="C43" s="209" t="s">
        <v>64</v>
      </c>
      <c r="D43" s="285">
        <v>51242</v>
      </c>
      <c r="E43" s="216">
        <v>429217</v>
      </c>
      <c r="F43" s="216">
        <v>104286</v>
      </c>
      <c r="G43" s="216">
        <v>82926951</v>
      </c>
      <c r="H43" s="216">
        <v>5331432</v>
      </c>
      <c r="I43" s="454">
        <f t="shared" si="0"/>
        <v>8477058.351473188</v>
      </c>
    </row>
    <row r="44" spans="1:9" s="90" customFormat="1" ht="12.75" customHeight="1" thickBot="1">
      <c r="A44" s="88"/>
      <c r="B44" s="88"/>
      <c r="C44" s="89"/>
      <c r="D44" s="132"/>
      <c r="E44" s="133"/>
      <c r="F44" s="133"/>
      <c r="G44" s="133"/>
      <c r="H44" s="133"/>
      <c r="I44" s="455"/>
    </row>
    <row r="45" spans="1:9" s="94" customFormat="1" ht="21" customHeight="1" thickBot="1">
      <c r="A45" s="91"/>
      <c r="B45" s="92"/>
      <c r="C45" s="93" t="s">
        <v>65</v>
      </c>
      <c r="D45" s="136">
        <f>SUM(D10:D43)-D16-D20-D24-D27-D30-D32</f>
        <v>40407001</v>
      </c>
      <c r="E45" s="136">
        <f>SUM(E10:E43)-E16-E20-E24-E27-E30-E32</f>
        <v>582020245</v>
      </c>
      <c r="F45" s="136">
        <f>SUM(F10:F43)-F16-F20-F24-F27-F30-F32</f>
        <v>87462627</v>
      </c>
      <c r="G45" s="136">
        <f>SUM(G10:G43)-G16-G20-G24-G27-G30-G32</f>
        <v>72218259040</v>
      </c>
      <c r="H45" s="136">
        <f>SUM(H10:H43)-H16-H20-H24-H27-H30-H32</f>
        <v>11168714106</v>
      </c>
      <c r="I45" s="456">
        <f>+D45*(G45+H45)/(E45+F45)</f>
        <v>5032865885.323792</v>
      </c>
    </row>
    <row r="46" spans="1:9" ht="12.75">
      <c r="A46" s="95"/>
      <c r="B46" s="96"/>
      <c r="C46" s="97"/>
      <c r="D46" s="97"/>
      <c r="E46" s="97"/>
      <c r="F46" s="97"/>
      <c r="G46" s="97"/>
      <c r="H46" s="97"/>
      <c r="I46" s="97"/>
    </row>
    <row r="47" spans="1:9" ht="12.75">
      <c r="A47" s="95"/>
      <c r="B47" s="96"/>
      <c r="C47" s="97"/>
      <c r="D47" s="97"/>
      <c r="E47" s="97"/>
      <c r="F47" s="97"/>
      <c r="G47" s="97"/>
      <c r="H47" s="97"/>
      <c r="I47" s="97"/>
    </row>
    <row r="48" spans="1:9" ht="12.75">
      <c r="A48" s="95"/>
      <c r="B48" s="96"/>
      <c r="C48" s="97"/>
      <c r="D48" s="97"/>
      <c r="E48" s="97"/>
      <c r="F48" s="97"/>
      <c r="G48" s="97"/>
      <c r="H48" s="97"/>
      <c r="I48" s="97"/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1200" verticalDpi="1200" orientation="portrait" scale="71" r:id="rId1"/>
  <headerFooter>
    <oddFooter>&amp;LCalifornia Department of Insurance &amp;RRate Specialist Bureau-8/25/2023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1" sqref="A1:K1"/>
    </sheetView>
  </sheetViews>
  <sheetFormatPr defaultColWidth="9.28125" defaultRowHeight="12.75"/>
  <cols>
    <col min="1" max="1" width="9.7109375" style="98" customWidth="1"/>
    <col min="2" max="2" width="0.71875" style="99" customWidth="1"/>
    <col min="3" max="3" width="23.28125" style="70" customWidth="1"/>
    <col min="4" max="10" width="15.7109375" style="70" customWidth="1"/>
    <col min="11" max="11" width="6.7109375" style="70" customWidth="1"/>
    <col min="12" max="16384" width="9.28125" style="70" customWidth="1"/>
  </cols>
  <sheetData>
    <row r="1" spans="1:11" ht="46.5" customHeight="1">
      <c r="A1" s="466" t="s">
        <v>205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5" customHeight="1">
      <c r="A2" s="277"/>
      <c r="B2" s="277"/>
      <c r="C2" s="277"/>
      <c r="D2" s="306"/>
      <c r="E2" s="306"/>
      <c r="F2" s="306"/>
      <c r="G2" s="306"/>
      <c r="H2" s="306"/>
      <c r="I2" s="306"/>
      <c r="J2" s="306"/>
      <c r="K2" s="306"/>
    </row>
    <row r="3" spans="1:11" ht="15" customHeight="1" thickBot="1">
      <c r="A3" s="277"/>
      <c r="B3" s="277"/>
      <c r="C3" s="277"/>
      <c r="D3" s="408"/>
      <c r="E3" s="408"/>
      <c r="F3" s="408"/>
      <c r="G3" s="408"/>
      <c r="H3" s="408"/>
      <c r="I3" s="306"/>
      <c r="J3" s="408"/>
      <c r="K3" s="277"/>
    </row>
    <row r="4" spans="1:11" s="75" customFormat="1" ht="11.25">
      <c r="A4" s="71"/>
      <c r="B4" s="72"/>
      <c r="C4" s="72"/>
      <c r="D4" s="73" t="s">
        <v>1</v>
      </c>
      <c r="E4" s="73" t="s">
        <v>2</v>
      </c>
      <c r="F4" s="73" t="s">
        <v>19</v>
      </c>
      <c r="G4" s="73" t="s">
        <v>6</v>
      </c>
      <c r="H4" s="73" t="s">
        <v>8</v>
      </c>
      <c r="I4" s="73" t="s">
        <v>9</v>
      </c>
      <c r="J4" s="73">
        <v>7</v>
      </c>
      <c r="K4" s="74">
        <v>8</v>
      </c>
    </row>
    <row r="5" spans="1:11" ht="12.75">
      <c r="A5" s="76"/>
      <c r="B5" s="77"/>
      <c r="C5" s="78"/>
      <c r="D5" s="79">
        <v>2021</v>
      </c>
      <c r="E5" s="79">
        <v>2021</v>
      </c>
      <c r="F5" s="79">
        <v>2021</v>
      </c>
      <c r="G5" s="79">
        <v>2021</v>
      </c>
      <c r="H5" s="79">
        <v>2021</v>
      </c>
      <c r="I5" s="79">
        <v>2021</v>
      </c>
      <c r="J5" s="79">
        <v>2021</v>
      </c>
      <c r="K5" s="80">
        <v>2021</v>
      </c>
    </row>
    <row r="6" spans="1:11" ht="12.75">
      <c r="A6" s="76"/>
      <c r="B6" s="77"/>
      <c r="C6" s="78"/>
      <c r="D6" s="79" t="s">
        <v>16</v>
      </c>
      <c r="E6" s="79" t="s">
        <v>18</v>
      </c>
      <c r="F6" s="79" t="s">
        <v>20</v>
      </c>
      <c r="G6" s="79" t="s">
        <v>21</v>
      </c>
      <c r="H6" s="79" t="s">
        <v>22</v>
      </c>
      <c r="I6" s="79" t="s">
        <v>10</v>
      </c>
      <c r="J6" s="79" t="s">
        <v>103</v>
      </c>
      <c r="K6" s="80" t="s">
        <v>104</v>
      </c>
    </row>
    <row r="7" spans="1:11" ht="12.75" customHeight="1">
      <c r="A7" s="76"/>
      <c r="B7" s="77"/>
      <c r="C7" s="78" t="s">
        <v>0</v>
      </c>
      <c r="D7" s="79" t="s">
        <v>17</v>
      </c>
      <c r="E7" s="79" t="s">
        <v>17</v>
      </c>
      <c r="F7" s="79" t="s">
        <v>17</v>
      </c>
      <c r="G7" s="79" t="s">
        <v>106</v>
      </c>
      <c r="H7" s="79" t="s">
        <v>106</v>
      </c>
      <c r="I7" s="79" t="s">
        <v>7</v>
      </c>
      <c r="J7" s="79" t="s">
        <v>107</v>
      </c>
      <c r="K7" s="80"/>
    </row>
    <row r="8" spans="1:11" s="86" customFormat="1" ht="11.25" customHeight="1" thickBot="1">
      <c r="A8" s="81"/>
      <c r="B8" s="82"/>
      <c r="C8" s="83"/>
      <c r="D8" s="84" t="s">
        <v>108</v>
      </c>
      <c r="E8" s="84" t="s">
        <v>108</v>
      </c>
      <c r="F8" s="84" t="s">
        <v>108</v>
      </c>
      <c r="G8" s="83"/>
      <c r="H8" s="83"/>
      <c r="I8" s="210" t="s">
        <v>116</v>
      </c>
      <c r="J8" s="84" t="s">
        <v>108</v>
      </c>
      <c r="K8" s="85"/>
    </row>
    <row r="9" spans="1:11" ht="11.25" customHeight="1" thickBot="1">
      <c r="A9" s="77"/>
      <c r="B9" s="77"/>
      <c r="C9" s="87"/>
      <c r="D9" s="296"/>
      <c r="E9" s="296"/>
      <c r="F9" s="296"/>
      <c r="G9" s="296"/>
      <c r="H9" s="296"/>
      <c r="I9" s="296"/>
      <c r="J9" s="296"/>
      <c r="K9" s="296"/>
    </row>
    <row r="10" spans="1:11" ht="12.75" customHeight="1">
      <c r="A10" s="199" t="s">
        <v>76</v>
      </c>
      <c r="B10" s="200"/>
      <c r="C10" s="201" t="s">
        <v>41</v>
      </c>
      <c r="D10" s="283">
        <v>355618</v>
      </c>
      <c r="E10" s="211">
        <v>12004805</v>
      </c>
      <c r="F10" s="211">
        <v>483630</v>
      </c>
      <c r="G10" s="211">
        <v>1211969224</v>
      </c>
      <c r="H10" s="211">
        <v>54988504</v>
      </c>
      <c r="I10" s="211">
        <f>+D10*(G10+H10)/(E10+F10)</f>
        <v>36077616.87640637</v>
      </c>
      <c r="J10" s="212"/>
      <c r="K10" s="213"/>
    </row>
    <row r="11" spans="1:11" ht="12.75" customHeight="1">
      <c r="A11" s="202" t="s">
        <v>77</v>
      </c>
      <c r="B11" s="203"/>
      <c r="C11" s="204" t="s">
        <v>42</v>
      </c>
      <c r="D11" s="284">
        <v>449455</v>
      </c>
      <c r="E11" s="214">
        <v>13410358</v>
      </c>
      <c r="F11" s="214">
        <v>617298</v>
      </c>
      <c r="G11" s="214">
        <v>702555880</v>
      </c>
      <c r="H11" s="214">
        <v>32313307</v>
      </c>
      <c r="I11" s="214">
        <f aca="true" t="shared" si="0" ref="I11:I43">+D11*(G11+H11)/(E11+F11)</f>
        <v>23545675.08948644</v>
      </c>
      <c r="J11" s="197"/>
      <c r="K11" s="215"/>
    </row>
    <row r="12" spans="1:11" ht="12.75" customHeight="1">
      <c r="A12" s="202" t="s">
        <v>180</v>
      </c>
      <c r="B12" s="203"/>
      <c r="C12" s="204" t="s">
        <v>181</v>
      </c>
      <c r="D12" s="284">
        <v>1657</v>
      </c>
      <c r="E12" s="214">
        <v>268541</v>
      </c>
      <c r="F12" s="214">
        <v>1063</v>
      </c>
      <c r="G12" s="214">
        <v>13428836</v>
      </c>
      <c r="H12" s="214">
        <v>455678</v>
      </c>
      <c r="I12" s="214">
        <f t="shared" si="0"/>
        <v>85334.93456328541</v>
      </c>
      <c r="J12" s="197"/>
      <c r="K12" s="215"/>
    </row>
    <row r="13" spans="1:11" ht="12.75" customHeight="1">
      <c r="A13" s="202" t="s">
        <v>185</v>
      </c>
      <c r="B13" s="203"/>
      <c r="C13" s="204" t="s">
        <v>186</v>
      </c>
      <c r="D13" s="284">
        <v>8990</v>
      </c>
      <c r="E13" s="214">
        <v>535034</v>
      </c>
      <c r="F13" s="214">
        <v>16701</v>
      </c>
      <c r="G13" s="214">
        <v>22291581</v>
      </c>
      <c r="H13" s="214">
        <v>568229</v>
      </c>
      <c r="I13" s="214">
        <f t="shared" si="0"/>
        <v>372478.98338876455</v>
      </c>
      <c r="J13" s="197"/>
      <c r="K13" s="215"/>
    </row>
    <row r="14" spans="1:11" ht="12.75" customHeight="1">
      <c r="A14" s="202" t="s">
        <v>78</v>
      </c>
      <c r="B14" s="203"/>
      <c r="C14" s="204" t="s">
        <v>43</v>
      </c>
      <c r="D14" s="284">
        <v>112313</v>
      </c>
      <c r="E14" s="214">
        <v>1729309</v>
      </c>
      <c r="F14" s="214">
        <v>131066</v>
      </c>
      <c r="G14" s="214">
        <v>157885042</v>
      </c>
      <c r="H14" s="214">
        <v>23991407</v>
      </c>
      <c r="I14" s="214">
        <f t="shared" si="0"/>
        <v>10980092.517119935</v>
      </c>
      <c r="J14" s="197"/>
      <c r="K14" s="215"/>
    </row>
    <row r="15" spans="1:11" ht="12.75" customHeight="1">
      <c r="A15" s="202" t="s">
        <v>79</v>
      </c>
      <c r="B15" s="203"/>
      <c r="C15" s="204" t="s">
        <v>44</v>
      </c>
      <c r="D15" s="284">
        <v>4056787</v>
      </c>
      <c r="E15" s="214">
        <v>40096066</v>
      </c>
      <c r="F15" s="214">
        <v>3030787</v>
      </c>
      <c r="G15" s="214">
        <v>4915031483</v>
      </c>
      <c r="H15" s="214">
        <v>391876252</v>
      </c>
      <c r="I15" s="214">
        <f t="shared" si="0"/>
        <v>499201606.7007589</v>
      </c>
      <c r="J15" s="197"/>
      <c r="K15" s="215"/>
    </row>
    <row r="16" spans="1:11" ht="12.75" customHeight="1">
      <c r="A16" s="202" t="s">
        <v>142</v>
      </c>
      <c r="B16" s="203"/>
      <c r="C16" s="205" t="s">
        <v>141</v>
      </c>
      <c r="D16" s="410">
        <f>+D17+D18</f>
        <v>2763171</v>
      </c>
      <c r="E16" s="410">
        <f>+E17+E18</f>
        <v>45652486</v>
      </c>
      <c r="F16" s="410">
        <f>+F17+F18</f>
        <v>10873736</v>
      </c>
      <c r="G16" s="410">
        <f>+G17+G18</f>
        <v>5490985956</v>
      </c>
      <c r="H16" s="410">
        <f>+H17+H18</f>
        <v>1345409612</v>
      </c>
      <c r="I16" s="190">
        <f t="shared" si="0"/>
        <v>334183487.0553728</v>
      </c>
      <c r="J16" s="197"/>
      <c r="K16" s="215"/>
    </row>
    <row r="17" spans="1:11" ht="12.75" customHeight="1">
      <c r="A17" s="202" t="s">
        <v>80</v>
      </c>
      <c r="B17" s="203"/>
      <c r="C17" s="205" t="s">
        <v>45</v>
      </c>
      <c r="D17" s="411">
        <v>961702</v>
      </c>
      <c r="E17" s="412">
        <v>16448468</v>
      </c>
      <c r="F17" s="412">
        <v>1183197</v>
      </c>
      <c r="G17" s="412">
        <v>1745793557</v>
      </c>
      <c r="H17" s="412">
        <v>143388445</v>
      </c>
      <c r="I17" s="214">
        <f t="shared" si="0"/>
        <v>103043592.85906373</v>
      </c>
      <c r="J17" s="197"/>
      <c r="K17" s="215"/>
    </row>
    <row r="18" spans="1:11" ht="12.75" customHeight="1">
      <c r="A18" s="202" t="s">
        <v>81</v>
      </c>
      <c r="B18" s="203"/>
      <c r="C18" s="205" t="s">
        <v>46</v>
      </c>
      <c r="D18" s="411">
        <v>1801469</v>
      </c>
      <c r="E18" s="412">
        <v>29204018</v>
      </c>
      <c r="F18" s="412">
        <v>9690539</v>
      </c>
      <c r="G18" s="412">
        <v>3745192399</v>
      </c>
      <c r="H18" s="412">
        <v>1202021167</v>
      </c>
      <c r="I18" s="214">
        <f t="shared" si="0"/>
        <v>229138793.77848303</v>
      </c>
      <c r="J18" s="197"/>
      <c r="K18" s="215"/>
    </row>
    <row r="19" spans="1:11" ht="12.75" customHeight="1">
      <c r="A19" s="202" t="s">
        <v>85</v>
      </c>
      <c r="B19" s="203"/>
      <c r="C19" s="204" t="s">
        <v>48</v>
      </c>
      <c r="D19" s="411">
        <v>404914</v>
      </c>
      <c r="E19" s="412">
        <v>7851375</v>
      </c>
      <c r="F19" s="412">
        <v>425328</v>
      </c>
      <c r="G19" s="412">
        <v>962523691</v>
      </c>
      <c r="H19" s="412">
        <v>59059446</v>
      </c>
      <c r="I19" s="214">
        <f t="shared" si="0"/>
        <v>49978030.422889166</v>
      </c>
      <c r="J19" s="197"/>
      <c r="K19" s="215"/>
    </row>
    <row r="20" spans="1:11" ht="12.75" customHeight="1">
      <c r="A20" s="202" t="s">
        <v>87</v>
      </c>
      <c r="B20" s="203"/>
      <c r="C20" s="205" t="s">
        <v>158</v>
      </c>
      <c r="D20" s="411">
        <v>17484016</v>
      </c>
      <c r="E20" s="412">
        <v>26100880</v>
      </c>
      <c r="F20" s="412">
        <v>7602521</v>
      </c>
      <c r="G20" s="412">
        <v>1612021442</v>
      </c>
      <c r="H20" s="412">
        <v>536121703</v>
      </c>
      <c r="I20" s="214">
        <f t="shared" si="0"/>
        <v>1114373268.0707896</v>
      </c>
      <c r="J20" s="191">
        <f>SUM(J21:J22)</f>
        <v>23673884</v>
      </c>
      <c r="K20" s="193">
        <f>SUM(K21:K22)</f>
        <v>1</v>
      </c>
    </row>
    <row r="21" spans="1:11" ht="12.75" customHeight="1">
      <c r="A21" s="202" t="s">
        <v>135</v>
      </c>
      <c r="B21" s="203"/>
      <c r="C21" s="205" t="s">
        <v>165</v>
      </c>
      <c r="D21" s="410">
        <f>+$K$21*D20</f>
        <v>6017796.042273081</v>
      </c>
      <c r="E21" s="410">
        <f>+$K$21*E20</f>
        <v>8983620.94634577</v>
      </c>
      <c r="F21" s="410">
        <f>+$K$21*F20</f>
        <v>2616699.7779627964</v>
      </c>
      <c r="G21" s="410">
        <f>+$K$21*G20</f>
        <v>554839131.5660512</v>
      </c>
      <c r="H21" s="410">
        <f>+$K$21*H20</f>
        <v>184526888.01532233</v>
      </c>
      <c r="I21" s="190">
        <f t="shared" si="0"/>
        <v>383554387.1734799</v>
      </c>
      <c r="J21" s="409">
        <v>8148277</v>
      </c>
      <c r="K21" s="193">
        <f>+J21/J20</f>
        <v>0.3441884314377818</v>
      </c>
    </row>
    <row r="22" spans="1:11" ht="12.75" customHeight="1">
      <c r="A22" s="202" t="s">
        <v>136</v>
      </c>
      <c r="B22" s="203"/>
      <c r="C22" s="205" t="s">
        <v>172</v>
      </c>
      <c r="D22" s="410">
        <f>+$K$22*D20</f>
        <v>11466219.95772692</v>
      </c>
      <c r="E22" s="410">
        <f>+$K$22*E20</f>
        <v>17117259.05365423</v>
      </c>
      <c r="F22" s="410">
        <f>+$K$22*F20</f>
        <v>4985821.222037204</v>
      </c>
      <c r="G22" s="410">
        <f>+$K$22*G20</f>
        <v>1057182310.4339489</v>
      </c>
      <c r="H22" s="410">
        <f>+$K$22*H20</f>
        <v>351594814.9846777</v>
      </c>
      <c r="I22" s="190">
        <f t="shared" si="0"/>
        <v>730818880.8973098</v>
      </c>
      <c r="J22" s="409">
        <v>15525607</v>
      </c>
      <c r="K22" s="193">
        <f>+J22/J20</f>
        <v>0.6558115685622182</v>
      </c>
    </row>
    <row r="23" spans="1:11" ht="12.75" customHeight="1">
      <c r="A23" s="202">
        <v>12</v>
      </c>
      <c r="B23" s="203"/>
      <c r="C23" s="204" t="s">
        <v>51</v>
      </c>
      <c r="D23" s="411">
        <v>7847</v>
      </c>
      <c r="E23" s="412">
        <v>274873</v>
      </c>
      <c r="F23" s="412">
        <v>14977</v>
      </c>
      <c r="G23" s="412">
        <v>64402713</v>
      </c>
      <c r="H23" s="412">
        <v>4701725</v>
      </c>
      <c r="I23" s="214">
        <f t="shared" si="0"/>
        <v>1870838.4508745903</v>
      </c>
      <c r="J23" s="414"/>
      <c r="K23" s="194"/>
    </row>
    <row r="24" spans="1:11" ht="12.75" customHeight="1">
      <c r="A24" s="202" t="s">
        <v>89</v>
      </c>
      <c r="B24" s="203"/>
      <c r="C24" s="204" t="s">
        <v>52</v>
      </c>
      <c r="D24" s="410">
        <f>+D25+D26</f>
        <v>9241480</v>
      </c>
      <c r="E24" s="410">
        <f>+E25+E26</f>
        <v>182010266</v>
      </c>
      <c r="F24" s="410">
        <f>+F25+F26</f>
        <v>33439313</v>
      </c>
      <c r="G24" s="410">
        <f>+G25+G26</f>
        <v>26402392773</v>
      </c>
      <c r="H24" s="410">
        <f>+H25+H26</f>
        <v>4703365922</v>
      </c>
      <c r="I24" s="190">
        <f t="shared" si="0"/>
        <v>1334248357.3136554</v>
      </c>
      <c r="J24" s="409"/>
      <c r="K24" s="193"/>
    </row>
    <row r="25" spans="1:11" ht="12.75" customHeight="1">
      <c r="A25" s="202" t="s">
        <v>137</v>
      </c>
      <c r="B25" s="203"/>
      <c r="C25" s="205" t="s">
        <v>166</v>
      </c>
      <c r="D25" s="411">
        <v>6562845</v>
      </c>
      <c r="E25" s="412">
        <v>125435925</v>
      </c>
      <c r="F25" s="412">
        <v>21599946</v>
      </c>
      <c r="G25" s="412">
        <v>16672903585</v>
      </c>
      <c r="H25" s="412">
        <v>2845657308</v>
      </c>
      <c r="I25" s="214">
        <f t="shared" si="0"/>
        <v>871197544.4673674</v>
      </c>
      <c r="J25" s="409"/>
      <c r="K25" s="194"/>
    </row>
    <row r="26" spans="1:11" ht="12.75" customHeight="1">
      <c r="A26" s="202" t="s">
        <v>159</v>
      </c>
      <c r="B26" s="203"/>
      <c r="C26" s="205" t="s">
        <v>167</v>
      </c>
      <c r="D26" s="411">
        <v>2678635</v>
      </c>
      <c r="E26" s="412">
        <v>56574341</v>
      </c>
      <c r="F26" s="412">
        <v>11839367</v>
      </c>
      <c r="G26" s="412">
        <v>9729489188</v>
      </c>
      <c r="H26" s="412">
        <v>1857708614</v>
      </c>
      <c r="I26" s="214">
        <f t="shared" si="0"/>
        <v>453679160.09406</v>
      </c>
      <c r="J26" s="409"/>
      <c r="K26" s="194"/>
    </row>
    <row r="27" spans="1:11" ht="12.75" customHeight="1">
      <c r="A27" s="202">
        <v>18</v>
      </c>
      <c r="B27" s="203"/>
      <c r="C27" s="204" t="s">
        <v>53</v>
      </c>
      <c r="D27" s="411">
        <v>1081888</v>
      </c>
      <c r="E27" s="412">
        <v>12886728</v>
      </c>
      <c r="F27" s="412">
        <v>5389031</v>
      </c>
      <c r="G27" s="412">
        <v>1668560813</v>
      </c>
      <c r="H27" s="412">
        <v>693376793</v>
      </c>
      <c r="I27" s="214">
        <f t="shared" si="0"/>
        <v>139821933.1235506</v>
      </c>
      <c r="J27" s="409">
        <f>+J28+J29</f>
        <v>9528022</v>
      </c>
      <c r="K27" s="193">
        <f>+K28+K29</f>
        <v>1</v>
      </c>
    </row>
    <row r="28" spans="1:11" ht="12.75" customHeight="1">
      <c r="A28" s="202" t="s">
        <v>138</v>
      </c>
      <c r="B28" s="203"/>
      <c r="C28" s="205" t="s">
        <v>168</v>
      </c>
      <c r="D28" s="410">
        <f>+$K$28*D27</f>
        <v>968982.6651970367</v>
      </c>
      <c r="E28" s="410">
        <f>+$K$28*E27</f>
        <v>11541874.984387735</v>
      </c>
      <c r="F28" s="410">
        <f>+$K$28*F27</f>
        <v>4826634.199851973</v>
      </c>
      <c r="G28" s="410">
        <f>+$K$28*G27</f>
        <v>1494430572.8726766</v>
      </c>
      <c r="H28" s="410">
        <f>+$K$28*H27</f>
        <v>621016309.3286126</v>
      </c>
      <c r="I28" s="190">
        <f t="shared" si="0"/>
        <v>125230180.39858091</v>
      </c>
      <c r="J28" s="409">
        <v>8533682</v>
      </c>
      <c r="K28" s="194">
        <f>+J28/J27</f>
        <v>0.8956404592684609</v>
      </c>
    </row>
    <row r="29" spans="1:11" ht="12.75" customHeight="1">
      <c r="A29" s="202" t="s">
        <v>139</v>
      </c>
      <c r="B29" s="203"/>
      <c r="C29" s="205" t="s">
        <v>169</v>
      </c>
      <c r="D29" s="410">
        <f>+$K$29*D27</f>
        <v>112905.3348029633</v>
      </c>
      <c r="E29" s="410">
        <f>+$K$29*E27</f>
        <v>1344853.0156122646</v>
      </c>
      <c r="F29" s="410">
        <f>+$K$29*F27</f>
        <v>562396.8001480266</v>
      </c>
      <c r="G29" s="410">
        <f>+$K$29*G27</f>
        <v>174130240.1273234</v>
      </c>
      <c r="H29" s="410">
        <f>+$K$29*H27</f>
        <v>72360483.67138742</v>
      </c>
      <c r="I29" s="190">
        <f t="shared" si="0"/>
        <v>14591752.724969706</v>
      </c>
      <c r="J29" s="409">
        <v>994340</v>
      </c>
      <c r="K29" s="194">
        <f>+J29/J27</f>
        <v>0.10435954073153904</v>
      </c>
    </row>
    <row r="30" spans="1:11" ht="12.75" customHeight="1">
      <c r="A30" s="202" t="s">
        <v>175</v>
      </c>
      <c r="B30" s="203"/>
      <c r="C30" s="205" t="s">
        <v>154</v>
      </c>
      <c r="D30" s="410">
        <f>+D31+D34</f>
        <v>12804794</v>
      </c>
      <c r="E30" s="410">
        <f>+E31+E34</f>
        <v>109362203</v>
      </c>
      <c r="F30" s="410">
        <f>+F31+F34</f>
        <v>13078988</v>
      </c>
      <c r="G30" s="410">
        <f>+G31+G34</f>
        <v>13866736020</v>
      </c>
      <c r="H30" s="410">
        <f>+H31+H34</f>
        <v>1753228278</v>
      </c>
      <c r="I30" s="190">
        <f t="shared" si="0"/>
        <v>1633522375.0252855</v>
      </c>
      <c r="J30" s="195"/>
      <c r="K30" s="196"/>
    </row>
    <row r="31" spans="1:11" ht="12.75" customHeight="1">
      <c r="A31" s="202">
        <v>19.2</v>
      </c>
      <c r="B31" s="203"/>
      <c r="C31" s="204" t="s">
        <v>54</v>
      </c>
      <c r="D31" s="411">
        <v>9971672</v>
      </c>
      <c r="E31" s="412">
        <v>102325772</v>
      </c>
      <c r="F31" s="412">
        <v>12734879</v>
      </c>
      <c r="G31" s="412">
        <v>13131964195</v>
      </c>
      <c r="H31" s="412">
        <v>1700292076</v>
      </c>
      <c r="I31" s="214">
        <f t="shared" si="0"/>
        <v>1285429843.0343063</v>
      </c>
      <c r="J31" s="197"/>
      <c r="K31" s="198"/>
    </row>
    <row r="32" spans="1:11" ht="12.75" customHeight="1">
      <c r="A32" s="202" t="s">
        <v>176</v>
      </c>
      <c r="B32" s="203"/>
      <c r="C32" s="204" t="s">
        <v>155</v>
      </c>
      <c r="D32" s="413">
        <f>+D33+D35</f>
        <v>2474353</v>
      </c>
      <c r="E32" s="413">
        <f>+E33+E35</f>
        <v>54413236</v>
      </c>
      <c r="F32" s="413">
        <f>+F33+F35</f>
        <v>6375017</v>
      </c>
      <c r="G32" s="413">
        <f>+G33+G35</f>
        <v>7022941535</v>
      </c>
      <c r="H32" s="413">
        <f>+H33+H35</f>
        <v>808981766</v>
      </c>
      <c r="I32" s="192">
        <f t="shared" si="0"/>
        <v>318794207.0912821</v>
      </c>
      <c r="J32" s="197"/>
      <c r="K32" s="215"/>
    </row>
    <row r="33" spans="1:11" ht="12.75" customHeight="1">
      <c r="A33" s="202">
        <v>19.4</v>
      </c>
      <c r="B33" s="203"/>
      <c r="C33" s="204" t="s">
        <v>55</v>
      </c>
      <c r="D33" s="411">
        <v>2266673</v>
      </c>
      <c r="E33" s="412">
        <v>52655681</v>
      </c>
      <c r="F33" s="412">
        <v>6189132</v>
      </c>
      <c r="G33" s="412">
        <v>6793127815</v>
      </c>
      <c r="H33" s="412">
        <v>785242068</v>
      </c>
      <c r="I33" s="214">
        <f t="shared" si="0"/>
        <v>291915047.76825887</v>
      </c>
      <c r="J33" s="197"/>
      <c r="K33" s="215"/>
    </row>
    <row r="34" spans="1:11" ht="12.75" customHeight="1">
      <c r="A34" s="202">
        <v>21.1</v>
      </c>
      <c r="B34" s="203"/>
      <c r="C34" s="204" t="s">
        <v>56</v>
      </c>
      <c r="D34" s="284">
        <v>2833122</v>
      </c>
      <c r="E34" s="214">
        <v>7036431</v>
      </c>
      <c r="F34" s="214">
        <v>344109</v>
      </c>
      <c r="G34" s="214">
        <v>734771825</v>
      </c>
      <c r="H34" s="214">
        <v>52936202</v>
      </c>
      <c r="I34" s="214">
        <f t="shared" si="0"/>
        <v>302372582.61188126</v>
      </c>
      <c r="J34" s="197"/>
      <c r="K34" s="215"/>
    </row>
    <row r="35" spans="1:11" ht="12.75" customHeight="1">
      <c r="A35" s="202">
        <v>21.2</v>
      </c>
      <c r="B35" s="203"/>
      <c r="C35" s="204" t="s">
        <v>57</v>
      </c>
      <c r="D35" s="284">
        <v>207680</v>
      </c>
      <c r="E35" s="214">
        <v>1757555</v>
      </c>
      <c r="F35" s="214">
        <v>185885</v>
      </c>
      <c r="G35" s="214">
        <v>229813720</v>
      </c>
      <c r="H35" s="214">
        <v>23739698</v>
      </c>
      <c r="I35" s="214">
        <f t="shared" si="0"/>
        <v>27095240.32140946</v>
      </c>
      <c r="J35" s="197"/>
      <c r="K35" s="215"/>
    </row>
    <row r="36" spans="1:11" ht="12.75" customHeight="1">
      <c r="A36" s="206">
        <v>22</v>
      </c>
      <c r="B36" s="203"/>
      <c r="C36" s="204" t="s">
        <v>58</v>
      </c>
      <c r="D36" s="284">
        <v>141323</v>
      </c>
      <c r="E36" s="214">
        <v>2550423</v>
      </c>
      <c r="F36" s="214">
        <v>370153</v>
      </c>
      <c r="G36" s="214">
        <v>251428267</v>
      </c>
      <c r="H36" s="214">
        <v>42195376</v>
      </c>
      <c r="I36" s="214">
        <f t="shared" si="0"/>
        <v>14208078.851462519</v>
      </c>
      <c r="J36" s="197"/>
      <c r="K36" s="215"/>
    </row>
    <row r="37" spans="1:11" ht="12.75" customHeight="1">
      <c r="A37" s="206">
        <v>23</v>
      </c>
      <c r="B37" s="203"/>
      <c r="C37" s="204" t="s">
        <v>59</v>
      </c>
      <c r="D37" s="284">
        <v>84826</v>
      </c>
      <c r="E37" s="214">
        <v>1198667</v>
      </c>
      <c r="F37" s="214">
        <v>122812</v>
      </c>
      <c r="G37" s="214">
        <v>144967607</v>
      </c>
      <c r="H37" s="214">
        <v>13973238</v>
      </c>
      <c r="I37" s="214">
        <f t="shared" si="0"/>
        <v>10202444.471663946</v>
      </c>
      <c r="J37" s="197"/>
      <c r="K37" s="215"/>
    </row>
    <row r="38" spans="1:11" ht="12.75" customHeight="1">
      <c r="A38" s="206">
        <v>24</v>
      </c>
      <c r="B38" s="203"/>
      <c r="C38" s="204" t="s">
        <v>60</v>
      </c>
      <c r="D38" s="284">
        <v>268697</v>
      </c>
      <c r="E38" s="214">
        <v>3613853</v>
      </c>
      <c r="F38" s="214">
        <v>570734</v>
      </c>
      <c r="G38" s="214">
        <v>409609640</v>
      </c>
      <c r="H38" s="214">
        <v>58728029</v>
      </c>
      <c r="I38" s="214">
        <f t="shared" si="0"/>
        <v>30072484.249292225</v>
      </c>
      <c r="J38" s="197"/>
      <c r="K38" s="215"/>
    </row>
    <row r="39" spans="1:11" ht="12.75" customHeight="1">
      <c r="A39" s="206">
        <v>26</v>
      </c>
      <c r="B39" s="203"/>
      <c r="C39" s="204" t="s">
        <v>61</v>
      </c>
      <c r="D39" s="284">
        <v>28880</v>
      </c>
      <c r="E39" s="214">
        <v>320254</v>
      </c>
      <c r="F39" s="214">
        <v>32612</v>
      </c>
      <c r="G39" s="214">
        <v>41428198</v>
      </c>
      <c r="H39" s="214">
        <v>3949110</v>
      </c>
      <c r="I39" s="214">
        <f t="shared" si="0"/>
        <v>3713864.9091723203</v>
      </c>
      <c r="J39" s="197"/>
      <c r="K39" s="215"/>
    </row>
    <row r="40" spans="1:11" ht="12.75" customHeight="1">
      <c r="A40" s="206">
        <v>27</v>
      </c>
      <c r="B40" s="203"/>
      <c r="C40" s="204" t="s">
        <v>62</v>
      </c>
      <c r="D40" s="284">
        <v>33248</v>
      </c>
      <c r="E40" s="214">
        <v>1051074</v>
      </c>
      <c r="F40" s="214">
        <v>27912</v>
      </c>
      <c r="G40" s="214">
        <v>74767451</v>
      </c>
      <c r="H40" s="214">
        <v>2754775</v>
      </c>
      <c r="I40" s="214">
        <f t="shared" si="0"/>
        <v>2388778.8813274684</v>
      </c>
      <c r="J40" s="197"/>
      <c r="K40" s="215"/>
    </row>
    <row r="41" spans="1:11" ht="12.75" customHeight="1">
      <c r="A41" s="202" t="s">
        <v>100</v>
      </c>
      <c r="B41" s="203"/>
      <c r="C41" s="204" t="s">
        <v>63</v>
      </c>
      <c r="D41" s="284">
        <v>39434</v>
      </c>
      <c r="E41" s="214">
        <v>1020459</v>
      </c>
      <c r="F41" s="214">
        <v>56745</v>
      </c>
      <c r="G41" s="214">
        <v>89448699</v>
      </c>
      <c r="H41" s="214">
        <v>5352541</v>
      </c>
      <c r="I41" s="214">
        <f t="shared" si="0"/>
        <v>3470458.797182335</v>
      </c>
      <c r="J41" s="197"/>
      <c r="K41" s="215"/>
    </row>
    <row r="42" spans="1:11" ht="12.75" customHeight="1">
      <c r="A42" s="202" t="s">
        <v>157</v>
      </c>
      <c r="B42" s="203"/>
      <c r="C42" s="204" t="s">
        <v>156</v>
      </c>
      <c r="D42" s="284">
        <v>2714</v>
      </c>
      <c r="E42" s="214">
        <v>280129</v>
      </c>
      <c r="F42" s="214">
        <v>1143</v>
      </c>
      <c r="G42" s="214">
        <v>25882881</v>
      </c>
      <c r="H42" s="214">
        <v>217203</v>
      </c>
      <c r="I42" s="214">
        <f t="shared" si="0"/>
        <v>251840.3110725561</v>
      </c>
      <c r="J42" s="197"/>
      <c r="K42" s="215"/>
    </row>
    <row r="43" spans="1:11" ht="12.75" customHeight="1" thickBot="1">
      <c r="A43" s="207" t="s">
        <v>102</v>
      </c>
      <c r="B43" s="208"/>
      <c r="C43" s="209" t="s">
        <v>64</v>
      </c>
      <c r="D43" s="285">
        <v>66640</v>
      </c>
      <c r="E43" s="216">
        <v>366061</v>
      </c>
      <c r="F43" s="216">
        <v>125763</v>
      </c>
      <c r="G43" s="216">
        <v>96298052</v>
      </c>
      <c r="H43" s="216">
        <v>10528730</v>
      </c>
      <c r="I43" s="216">
        <f t="shared" si="0"/>
        <v>14474561.535183318</v>
      </c>
      <c r="J43" s="217"/>
      <c r="K43" s="218"/>
    </row>
    <row r="44" spans="1:11" s="90" customFormat="1" ht="12.75" customHeight="1" thickBot="1">
      <c r="A44" s="88"/>
      <c r="B44" s="88"/>
      <c r="C44" s="89"/>
      <c r="D44" s="132"/>
      <c r="E44" s="133"/>
      <c r="F44" s="133"/>
      <c r="G44" s="133"/>
      <c r="H44" s="133"/>
      <c r="I44" s="133"/>
      <c r="J44" s="134"/>
      <c r="K44" s="135"/>
    </row>
    <row r="45" spans="1:11" s="94" customFormat="1" ht="21" customHeight="1" thickBot="1">
      <c r="A45" s="91"/>
      <c r="B45" s="92"/>
      <c r="C45" s="93" t="s">
        <v>65</v>
      </c>
      <c r="D45" s="136">
        <f>SUM(D10:D43)-D16-D20-D24-D27-D30-D32</f>
        <v>51913045</v>
      </c>
      <c r="E45" s="136">
        <f>SUM(E10:E43)-E16-E20-E24-E27-E30-E32</f>
        <v>516997080</v>
      </c>
      <c r="F45" s="136">
        <f>SUM(F10:F43)-F16-F20-F24-F27-F30-F32</f>
        <v>82787330</v>
      </c>
      <c r="G45" s="136">
        <f>SUM(G10:G43)-G16-G20-G24-G27-G30-G32</f>
        <v>65247557784</v>
      </c>
      <c r="H45" s="136">
        <f>SUM(H10:H43)-H16-H20-H24-H27-H30-H32</f>
        <v>10546137624</v>
      </c>
      <c r="I45" s="136">
        <f>+D45*(G45+H45)/(E45+F45)</f>
        <v>6560159708.772352</v>
      </c>
      <c r="J45" s="137"/>
      <c r="K45" s="138"/>
    </row>
    <row r="46" spans="1:11" ht="12.75">
      <c r="A46" s="95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ht="12.75">
      <c r="A47" s="95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2.75">
      <c r="A48" s="95"/>
      <c r="B48" s="96"/>
      <c r="C48" s="97"/>
      <c r="D48" s="97"/>
      <c r="E48" s="97"/>
      <c r="F48" s="97"/>
      <c r="G48" s="97"/>
      <c r="H48" s="97"/>
      <c r="I48" s="97"/>
      <c r="J48" s="97"/>
      <c r="K48" s="97"/>
    </row>
  </sheetData>
  <sheetProtection/>
  <mergeCells count="1">
    <mergeCell ref="A1:K1"/>
  </mergeCells>
  <printOptions/>
  <pageMargins left="0.7" right="0.7" top="0.75" bottom="0.75" header="0.3" footer="0.3"/>
  <pageSetup fitToHeight="1" fitToWidth="1" horizontalDpi="1200" verticalDpi="1200" orientation="portrait" scale="60" r:id="rId1"/>
  <headerFooter>
    <oddFooter>&amp;LCalifornia Department of Insurance &amp;RRate Specialist Bureau-8/25/2023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90" zoomScaleNormal="90" zoomScalePageLayoutView="0" workbookViewId="0" topLeftCell="A1">
      <selection activeCell="A1" sqref="A1:G1"/>
    </sheetView>
  </sheetViews>
  <sheetFormatPr defaultColWidth="9.28125" defaultRowHeight="12.75"/>
  <cols>
    <col min="1" max="1" width="12.8515625" style="228" customWidth="1"/>
    <col min="2" max="2" width="22.00390625" style="275" customWidth="1"/>
    <col min="3" max="3" width="13.00390625" style="228" customWidth="1"/>
    <col min="4" max="4" width="6.7109375" style="228" bestFit="1" customWidth="1"/>
    <col min="5" max="5" width="13.7109375" style="253" customWidth="1"/>
    <col min="6" max="6" width="3.28125" style="253" customWidth="1"/>
    <col min="7" max="7" width="16.28125" style="228" customWidth="1"/>
    <col min="8" max="8" width="6.00390625" style="228" hidden="1" customWidth="1"/>
    <col min="9" max="9" width="10.8515625" style="228" hidden="1" customWidth="1"/>
    <col min="10" max="16384" width="9.28125" style="228" customWidth="1"/>
  </cols>
  <sheetData>
    <row r="1" spans="1:7" s="222" customFormat="1" ht="69.75" customHeight="1" thickBot="1">
      <c r="A1" s="467" t="s">
        <v>206</v>
      </c>
      <c r="B1" s="467"/>
      <c r="C1" s="467"/>
      <c r="D1" s="467"/>
      <c r="E1" s="467"/>
      <c r="F1" s="467"/>
      <c r="G1" s="467"/>
    </row>
    <row r="2" spans="1:7" ht="6" customHeight="1">
      <c r="A2" s="223"/>
      <c r="B2" s="224"/>
      <c r="C2" s="225"/>
      <c r="D2" s="225"/>
      <c r="E2" s="226"/>
      <c r="F2" s="226"/>
      <c r="G2" s="227"/>
    </row>
    <row r="3" spans="1:7" s="234" customFormat="1" ht="7.5" customHeight="1">
      <c r="A3" s="229"/>
      <c r="B3" s="230"/>
      <c r="C3" s="231"/>
      <c r="D3" s="231"/>
      <c r="E3" s="232"/>
      <c r="F3" s="232"/>
      <c r="G3" s="233"/>
    </row>
    <row r="4" spans="1:7" s="234" customFormat="1" ht="17.25" customHeight="1">
      <c r="A4" s="229"/>
      <c r="B4" s="230"/>
      <c r="C4" s="235">
        <v>2021</v>
      </c>
      <c r="D4" s="235"/>
      <c r="E4" s="235">
        <v>2022</v>
      </c>
      <c r="F4" s="235"/>
      <c r="G4" s="236" t="s">
        <v>173</v>
      </c>
    </row>
    <row r="5" spans="1:9" s="234" customFormat="1" ht="26.25" customHeight="1">
      <c r="A5" s="229"/>
      <c r="B5" s="230" t="s">
        <v>0</v>
      </c>
      <c r="C5" s="237" t="s">
        <v>140</v>
      </c>
      <c r="D5" s="237"/>
      <c r="E5" s="237" t="s">
        <v>140</v>
      </c>
      <c r="F5" s="237"/>
      <c r="G5" s="238" t="s">
        <v>202</v>
      </c>
      <c r="I5" s="276" t="s">
        <v>187</v>
      </c>
    </row>
    <row r="6" spans="1:9" s="234" customFormat="1" ht="15" customHeight="1" thickBot="1">
      <c r="A6" s="239"/>
      <c r="B6" s="240"/>
      <c r="C6" s="241" t="s">
        <v>1</v>
      </c>
      <c r="D6" s="242"/>
      <c r="E6" s="241" t="s">
        <v>2</v>
      </c>
      <c r="F6" s="241"/>
      <c r="G6" s="243" t="s">
        <v>174</v>
      </c>
      <c r="I6" s="244" t="s">
        <v>190</v>
      </c>
    </row>
    <row r="7" spans="1:7" ht="8.25" customHeight="1" thickBot="1">
      <c r="A7" s="245"/>
      <c r="B7" s="246"/>
      <c r="C7" s="247"/>
      <c r="D7" s="248"/>
      <c r="E7" s="247"/>
      <c r="F7" s="248"/>
      <c r="G7" s="249"/>
    </row>
    <row r="8" spans="1:9" ht="15" customHeight="1">
      <c r="A8" s="250" t="s">
        <v>76</v>
      </c>
      <c r="B8" s="251" t="s">
        <v>41</v>
      </c>
      <c r="C8" s="252">
        <v>1.7040300096297394</v>
      </c>
      <c r="D8" s="289"/>
      <c r="E8" s="252">
        <v>1.2713417674415066</v>
      </c>
      <c r="F8" s="289"/>
      <c r="G8" s="297">
        <f>+E8-C8</f>
        <v>-0.43268824218823276</v>
      </c>
      <c r="I8" s="253">
        <f>+E8/C8-1</f>
        <v>-0.2539205528911135</v>
      </c>
    </row>
    <row r="9" spans="1:9" ht="15" customHeight="1">
      <c r="A9" s="254" t="s">
        <v>77</v>
      </c>
      <c r="B9" s="255" t="s">
        <v>42</v>
      </c>
      <c r="C9" s="257">
        <v>1.2313835016781414</v>
      </c>
      <c r="D9" s="256"/>
      <c r="E9" s="257">
        <v>0.922906502870907</v>
      </c>
      <c r="F9" s="256"/>
      <c r="G9" s="298">
        <f aca="true" t="shared" si="0" ref="G9:G43">+E9-C9</f>
        <v>-0.30847699880723434</v>
      </c>
      <c r="I9" s="253">
        <f aca="true" t="shared" si="1" ref="I9:I43">+E9/C9-1</f>
        <v>-0.25051253195031353</v>
      </c>
    </row>
    <row r="10" spans="1:9" ht="15" customHeight="1">
      <c r="A10" s="254" t="s">
        <v>180</v>
      </c>
      <c r="B10" s="255" t="s">
        <v>181</v>
      </c>
      <c r="C10" s="257">
        <v>0.8991543387409611</v>
      </c>
      <c r="D10" s="290"/>
      <c r="E10" s="257">
        <v>7.358018905502824</v>
      </c>
      <c r="F10" s="290"/>
      <c r="G10" s="298">
        <f t="shared" si="0"/>
        <v>6.458864566761863</v>
      </c>
      <c r="I10" s="253">
        <f t="shared" si="1"/>
        <v>7.183265751468067</v>
      </c>
    </row>
    <row r="11" spans="1:9" ht="15" customHeight="1">
      <c r="A11" s="254" t="s">
        <v>185</v>
      </c>
      <c r="B11" s="255" t="s">
        <v>186</v>
      </c>
      <c r="C11" s="257">
        <v>2.5288629074150526</v>
      </c>
      <c r="D11" s="290"/>
      <c r="E11" s="257">
        <v>2.122334565707659</v>
      </c>
      <c r="F11" s="290"/>
      <c r="G11" s="298">
        <f t="shared" si="0"/>
        <v>-0.4065283417073937</v>
      </c>
      <c r="I11" s="253">
        <f t="shared" si="1"/>
        <v>-0.16075538951335955</v>
      </c>
    </row>
    <row r="12" spans="1:9" ht="15" customHeight="1">
      <c r="A12" s="254" t="s">
        <v>78</v>
      </c>
      <c r="B12" s="255" t="s">
        <v>43</v>
      </c>
      <c r="C12" s="257">
        <v>2.824803964995678</v>
      </c>
      <c r="D12" s="256"/>
      <c r="E12" s="257">
        <v>2.5042560062214623</v>
      </c>
      <c r="F12" s="256"/>
      <c r="G12" s="298">
        <f t="shared" si="0"/>
        <v>-0.32054795877421594</v>
      </c>
      <c r="I12" s="253">
        <f t="shared" si="1"/>
        <v>-0.11347617843445867</v>
      </c>
    </row>
    <row r="13" spans="1:9" ht="15" customHeight="1">
      <c r="A13" s="254" t="s">
        <v>79</v>
      </c>
      <c r="B13" s="255" t="s">
        <v>44</v>
      </c>
      <c r="C13" s="257">
        <v>1.3010095886105004</v>
      </c>
      <c r="D13" s="256"/>
      <c r="E13" s="257">
        <v>0.8650154388211022</v>
      </c>
      <c r="F13" s="256"/>
      <c r="G13" s="298">
        <f t="shared" si="0"/>
        <v>-0.4359941497893982</v>
      </c>
      <c r="I13" s="253">
        <f t="shared" si="1"/>
        <v>-0.33511985892052276</v>
      </c>
    </row>
    <row r="14" spans="1:9" ht="15" customHeight="1">
      <c r="A14" s="254" t="s">
        <v>142</v>
      </c>
      <c r="B14" s="255" t="s">
        <v>141</v>
      </c>
      <c r="C14" s="257">
        <v>2.0377358580832317</v>
      </c>
      <c r="D14" s="256"/>
      <c r="E14" s="257">
        <v>1.8632909038651826</v>
      </c>
      <c r="F14" s="256"/>
      <c r="G14" s="298">
        <f t="shared" si="0"/>
        <v>-0.17444495421804906</v>
      </c>
      <c r="I14" s="253">
        <f t="shared" si="1"/>
        <v>-0.08560724567223266</v>
      </c>
    </row>
    <row r="15" spans="1:9" ht="15" customHeight="1">
      <c r="A15" s="254" t="s">
        <v>80</v>
      </c>
      <c r="B15" s="255" t="s">
        <v>170</v>
      </c>
      <c r="C15" s="257">
        <v>1.0191601205006116</v>
      </c>
      <c r="D15" s="256"/>
      <c r="E15" s="257">
        <v>0.9626354163978708</v>
      </c>
      <c r="F15" s="256"/>
      <c r="G15" s="298">
        <f t="shared" si="0"/>
        <v>-0.0565247041027408</v>
      </c>
      <c r="I15" s="253">
        <f t="shared" si="1"/>
        <v>-0.05546204464414861</v>
      </c>
    </row>
    <row r="16" spans="1:9" ht="15" customHeight="1">
      <c r="A16" s="254" t="s">
        <v>81</v>
      </c>
      <c r="B16" s="255" t="s">
        <v>171</v>
      </c>
      <c r="C16" s="257">
        <v>3.3123146730476747</v>
      </c>
      <c r="D16" s="256"/>
      <c r="E16" s="257">
        <v>2.910633272175695</v>
      </c>
      <c r="F16" s="256"/>
      <c r="G16" s="298">
        <f t="shared" si="0"/>
        <v>-0.40168140087197957</v>
      </c>
      <c r="I16" s="253">
        <f t="shared" si="1"/>
        <v>-0.12126909443129408</v>
      </c>
    </row>
    <row r="17" spans="1:9" ht="15" customHeight="1">
      <c r="A17" s="254" t="s">
        <v>85</v>
      </c>
      <c r="B17" s="255" t="s">
        <v>48</v>
      </c>
      <c r="C17" s="257">
        <v>0.6077023931374855</v>
      </c>
      <c r="D17" s="256"/>
      <c r="E17" s="257">
        <v>0.5438196477410381</v>
      </c>
      <c r="F17" s="256"/>
      <c r="G17" s="298">
        <f t="shared" si="0"/>
        <v>-0.06388274539644745</v>
      </c>
      <c r="I17" s="253">
        <f t="shared" si="1"/>
        <v>-0.10512176045025834</v>
      </c>
    </row>
    <row r="18" spans="1:9" ht="15" customHeight="1">
      <c r="A18" s="254" t="s">
        <v>87</v>
      </c>
      <c r="B18" s="255" t="s">
        <v>158</v>
      </c>
      <c r="C18" s="257">
        <v>3.7595937759163247</v>
      </c>
      <c r="D18" s="256"/>
      <c r="E18" s="257">
        <v>6.160370123323114</v>
      </c>
      <c r="F18" s="256"/>
      <c r="G18" s="298">
        <f t="shared" si="0"/>
        <v>2.400776347406789</v>
      </c>
      <c r="I18" s="253">
        <f t="shared" si="1"/>
        <v>0.638573338105298</v>
      </c>
    </row>
    <row r="19" spans="1:9" ht="15" customHeight="1">
      <c r="A19" s="254" t="s">
        <v>135</v>
      </c>
      <c r="B19" s="308" t="s">
        <v>165</v>
      </c>
      <c r="C19" s="257">
        <v>5.681739994784329</v>
      </c>
      <c r="D19" s="256"/>
      <c r="E19" s="257">
        <v>27.232914562947393</v>
      </c>
      <c r="F19" s="256"/>
      <c r="G19" s="298">
        <f t="shared" si="0"/>
        <v>21.551174568163063</v>
      </c>
      <c r="I19" s="253">
        <f t="shared" si="1"/>
        <v>3.793058919969307</v>
      </c>
    </row>
    <row r="20" spans="1:9" ht="15" customHeight="1">
      <c r="A20" s="254" t="s">
        <v>136</v>
      </c>
      <c r="B20" s="255" t="s">
        <v>172</v>
      </c>
      <c r="C20" s="257">
        <v>3.183407940198822</v>
      </c>
      <c r="D20" s="256"/>
      <c r="E20" s="257">
        <v>4.814263199811444</v>
      </c>
      <c r="F20" s="256"/>
      <c r="G20" s="298">
        <f t="shared" si="0"/>
        <v>1.6308552596126225</v>
      </c>
      <c r="I20" s="253">
        <f t="shared" si="1"/>
        <v>0.5122985461645755</v>
      </c>
    </row>
    <row r="21" spans="1:9" ht="15" customHeight="1">
      <c r="A21" s="254" t="s">
        <v>88</v>
      </c>
      <c r="B21" s="255" t="s">
        <v>164</v>
      </c>
      <c r="C21" s="257">
        <v>1</v>
      </c>
      <c r="D21" s="256"/>
      <c r="E21" s="257">
        <v>1</v>
      </c>
      <c r="F21" s="256"/>
      <c r="G21" s="298">
        <f t="shared" si="0"/>
        <v>0</v>
      </c>
      <c r="I21" s="253">
        <f t="shared" si="1"/>
        <v>0</v>
      </c>
    </row>
    <row r="22" spans="1:9" ht="15" customHeight="1">
      <c r="A22" s="254" t="s">
        <v>89</v>
      </c>
      <c r="B22" s="255" t="s">
        <v>52</v>
      </c>
      <c r="C22" s="257">
        <v>2.9111888031361275</v>
      </c>
      <c r="D22" s="256"/>
      <c r="E22" s="257">
        <v>3.0825361881080635</v>
      </c>
      <c r="F22" s="256"/>
      <c r="G22" s="298">
        <f t="shared" si="0"/>
        <v>0.17134738497193602</v>
      </c>
      <c r="I22" s="253">
        <f t="shared" si="1"/>
        <v>0.05885821791680046</v>
      </c>
    </row>
    <row r="23" spans="1:9" ht="15" customHeight="1">
      <c r="A23" s="254" t="s">
        <v>137</v>
      </c>
      <c r="B23" s="255" t="s">
        <v>166</v>
      </c>
      <c r="C23" s="257">
        <v>3.3465701709731945</v>
      </c>
      <c r="D23" s="256"/>
      <c r="E23" s="257">
        <v>3.3399793996006117</v>
      </c>
      <c r="F23" s="256"/>
      <c r="G23" s="298">
        <f t="shared" si="0"/>
        <v>-0.006590771372582793</v>
      </c>
      <c r="I23" s="253">
        <f t="shared" si="1"/>
        <v>-0.0019694107805503513</v>
      </c>
    </row>
    <row r="24" spans="1:9" ht="15" customHeight="1">
      <c r="A24" s="254" t="s">
        <v>159</v>
      </c>
      <c r="B24" s="255" t="s">
        <v>167</v>
      </c>
      <c r="C24" s="257">
        <v>2.364961728830746</v>
      </c>
      <c r="D24" s="256"/>
      <c r="E24" s="257">
        <v>2.733251044888621</v>
      </c>
      <c r="F24" s="256"/>
      <c r="G24" s="298">
        <f t="shared" si="0"/>
        <v>0.36828931605787485</v>
      </c>
      <c r="I24" s="253">
        <f t="shared" si="1"/>
        <v>0.15572738939837283</v>
      </c>
    </row>
    <row r="25" spans="1:9" ht="15" customHeight="1">
      <c r="A25" s="254" t="s">
        <v>90</v>
      </c>
      <c r="B25" s="255" t="s">
        <v>53</v>
      </c>
      <c r="C25" s="257">
        <v>4.8877985793418555</v>
      </c>
      <c r="D25" s="256"/>
      <c r="E25" s="257">
        <v>6.39062457446496</v>
      </c>
      <c r="F25" s="256"/>
      <c r="G25" s="298">
        <f t="shared" si="0"/>
        <v>1.5028259951231044</v>
      </c>
      <c r="I25" s="253">
        <f t="shared" si="1"/>
        <v>0.3074647964166848</v>
      </c>
    </row>
    <row r="26" spans="1:9" ht="15" customHeight="1">
      <c r="A26" s="254" t="s">
        <v>138</v>
      </c>
      <c r="B26" s="255" t="s">
        <v>168</v>
      </c>
      <c r="C26" s="257">
        <v>4.931548910547543</v>
      </c>
      <c r="D26" s="256"/>
      <c r="E26" s="257">
        <v>6.918338711538992</v>
      </c>
      <c r="F26" s="256"/>
      <c r="G26" s="298">
        <f t="shared" si="0"/>
        <v>1.9867898009914482</v>
      </c>
      <c r="I26" s="253">
        <f t="shared" si="1"/>
        <v>0.4028733846159618</v>
      </c>
    </row>
    <row r="27" spans="1:9" ht="15" customHeight="1">
      <c r="A27" s="254" t="s">
        <v>139</v>
      </c>
      <c r="B27" s="255" t="s">
        <v>169</v>
      </c>
      <c r="C27" s="257">
        <v>4.532679421204925</v>
      </c>
      <c r="D27" s="256"/>
      <c r="E27" s="257">
        <v>4.101582844192559</v>
      </c>
      <c r="F27" s="256"/>
      <c r="G27" s="298">
        <f t="shared" si="0"/>
        <v>-0.43109657701236603</v>
      </c>
      <c r="I27" s="253">
        <f t="shared" si="1"/>
        <v>-0.0951085521282613</v>
      </c>
    </row>
    <row r="28" spans="1:9" ht="15" customHeight="1">
      <c r="A28" s="254" t="s">
        <v>175</v>
      </c>
      <c r="B28" s="255" t="s">
        <v>154</v>
      </c>
      <c r="C28" s="257">
        <v>0.7694610843565538</v>
      </c>
      <c r="D28" s="256"/>
      <c r="E28" s="257">
        <v>0.689879019191634</v>
      </c>
      <c r="F28" s="256"/>
      <c r="G28" s="298">
        <f t="shared" si="0"/>
        <v>-0.07958206516491984</v>
      </c>
      <c r="I28" s="253">
        <f t="shared" si="1"/>
        <v>-0.1034257180549536</v>
      </c>
    </row>
    <row r="29" spans="1:9" ht="15" customHeight="1">
      <c r="A29" s="254" t="s">
        <v>91</v>
      </c>
      <c r="B29" s="255" t="s">
        <v>54</v>
      </c>
      <c r="C29" s="257">
        <v>1.3266740292453059</v>
      </c>
      <c r="D29" s="256"/>
      <c r="E29" s="257">
        <v>1.1629098690758963</v>
      </c>
      <c r="F29" s="256"/>
      <c r="G29" s="298">
        <f t="shared" si="0"/>
        <v>-0.16376416016940953</v>
      </c>
      <c r="I29" s="253">
        <f t="shared" si="1"/>
        <v>-0.12343963668495772</v>
      </c>
    </row>
    <row r="30" spans="1:9" ht="15" customHeight="1">
      <c r="A30" s="254" t="s">
        <v>176</v>
      </c>
      <c r="B30" s="255" t="s">
        <v>155</v>
      </c>
      <c r="C30" s="257">
        <v>1.6888976477144795</v>
      </c>
      <c r="D30" s="256"/>
      <c r="E30" s="257">
        <v>1.5266625346851634</v>
      </c>
      <c r="F30" s="256"/>
      <c r="G30" s="298">
        <f t="shared" si="0"/>
        <v>-0.16223511302931604</v>
      </c>
      <c r="I30" s="253">
        <f t="shared" si="1"/>
        <v>-0.09605976611363198</v>
      </c>
    </row>
    <row r="31" spans="1:9" ht="15" customHeight="1">
      <c r="A31" s="254" t="s">
        <v>92</v>
      </c>
      <c r="B31" s="255" t="s">
        <v>55</v>
      </c>
      <c r="C31" s="257">
        <v>1.9240568199838088</v>
      </c>
      <c r="D31" s="256"/>
      <c r="E31" s="257">
        <v>1.715431134682582</v>
      </c>
      <c r="F31" s="256"/>
      <c r="G31" s="298">
        <f t="shared" si="0"/>
        <v>-0.20862568530122694</v>
      </c>
      <c r="I31" s="253">
        <f t="shared" si="1"/>
        <v>-0.10843010618729154</v>
      </c>
    </row>
    <row r="32" spans="1:9" ht="15" customHeight="1">
      <c r="A32" s="254" t="s">
        <v>93</v>
      </c>
      <c r="B32" s="255" t="s">
        <v>56</v>
      </c>
      <c r="C32" s="257">
        <v>0.0918962140764586</v>
      </c>
      <c r="D32" s="256"/>
      <c r="E32" s="257">
        <v>0.10469998128767034</v>
      </c>
      <c r="F32" s="256"/>
      <c r="G32" s="298">
        <f t="shared" si="0"/>
        <v>0.01280376721121175</v>
      </c>
      <c r="I32" s="253">
        <f t="shared" si="1"/>
        <v>0.13932856037528252</v>
      </c>
    </row>
    <row r="33" spans="1:9" ht="15" customHeight="1">
      <c r="A33" s="254" t="s">
        <v>94</v>
      </c>
      <c r="B33" s="255" t="s">
        <v>57</v>
      </c>
      <c r="C33" s="257">
        <v>0.373189937049087</v>
      </c>
      <c r="D33" s="256"/>
      <c r="E33" s="257">
        <v>0.3515986101288683</v>
      </c>
      <c r="F33" s="256"/>
      <c r="G33" s="298">
        <f t="shared" si="0"/>
        <v>-0.0215913269202187</v>
      </c>
      <c r="I33" s="253">
        <f t="shared" si="1"/>
        <v>-0.05785613377184584</v>
      </c>
    </row>
    <row r="34" spans="1:9" ht="15" customHeight="1">
      <c r="A34" s="254" t="s">
        <v>95</v>
      </c>
      <c r="B34" s="255" t="s">
        <v>58</v>
      </c>
      <c r="C34" s="257">
        <v>1.6026870856101356</v>
      </c>
      <c r="D34" s="256"/>
      <c r="E34" s="257">
        <v>1.8673414250592468</v>
      </c>
      <c r="F34" s="256"/>
      <c r="G34" s="298">
        <f t="shared" si="0"/>
        <v>0.2646543394491112</v>
      </c>
      <c r="I34" s="253">
        <f t="shared" si="1"/>
        <v>0.1651316353799397</v>
      </c>
    </row>
    <row r="35" spans="1:9" ht="15" customHeight="1">
      <c r="A35" s="254" t="s">
        <v>96</v>
      </c>
      <c r="B35" s="255" t="s">
        <v>59</v>
      </c>
      <c r="C35" s="257">
        <v>2.512382243045405</v>
      </c>
      <c r="D35" s="256"/>
      <c r="E35" s="257">
        <v>2.5010703236340768</v>
      </c>
      <c r="F35" s="256"/>
      <c r="G35" s="298">
        <f t="shared" si="0"/>
        <v>-0.01131191941132803</v>
      </c>
      <c r="I35" s="253">
        <f t="shared" si="1"/>
        <v>-0.004502467505747121</v>
      </c>
    </row>
    <row r="36" spans="1:9" ht="15" customHeight="1">
      <c r="A36" s="254" t="s">
        <v>97</v>
      </c>
      <c r="B36" s="255" t="s">
        <v>60</v>
      </c>
      <c r="C36" s="257">
        <v>5.20033489142356</v>
      </c>
      <c r="D36" s="290"/>
      <c r="E36" s="257">
        <v>2.7290073904096475</v>
      </c>
      <c r="F36" s="290"/>
      <c r="G36" s="298">
        <f t="shared" si="0"/>
        <v>-2.471327501013912</v>
      </c>
      <c r="I36" s="253">
        <f t="shared" si="1"/>
        <v>-0.4752246831429353</v>
      </c>
    </row>
    <row r="37" spans="1:9" ht="15" customHeight="1">
      <c r="A37" s="254" t="s">
        <v>98</v>
      </c>
      <c r="B37" s="255" t="s">
        <v>163</v>
      </c>
      <c r="C37" s="257">
        <v>1.007113416222989</v>
      </c>
      <c r="D37" s="256"/>
      <c r="E37" s="257">
        <v>0.8098399359185047</v>
      </c>
      <c r="F37" s="256"/>
      <c r="G37" s="298">
        <f t="shared" si="0"/>
        <v>-0.19727348030448444</v>
      </c>
      <c r="I37" s="253">
        <f t="shared" si="1"/>
        <v>-0.19588010359779118</v>
      </c>
    </row>
    <row r="38" spans="1:9" ht="15" customHeight="1">
      <c r="A38" s="254" t="s">
        <v>99</v>
      </c>
      <c r="B38" s="255" t="s">
        <v>62</v>
      </c>
      <c r="C38" s="257">
        <v>2.780279337907231</v>
      </c>
      <c r="D38" s="256"/>
      <c r="E38" s="257">
        <v>1.5139889691696367</v>
      </c>
      <c r="F38" s="256"/>
      <c r="G38" s="298">
        <f t="shared" si="0"/>
        <v>-1.2662903687375942</v>
      </c>
      <c r="I38" s="253">
        <f t="shared" si="1"/>
        <v>-0.45545436800992634</v>
      </c>
    </row>
    <row r="39" spans="1:9" ht="15" customHeight="1">
      <c r="A39" s="254" t="s">
        <v>100</v>
      </c>
      <c r="B39" s="255" t="s">
        <v>63</v>
      </c>
      <c r="C39" s="257">
        <v>12.237739293459976</v>
      </c>
      <c r="D39" s="256"/>
      <c r="E39" s="257">
        <v>1.2125343708101473</v>
      </c>
      <c r="F39" s="256"/>
      <c r="G39" s="298">
        <f t="shared" si="0"/>
        <v>-11.025204922649829</v>
      </c>
      <c r="I39" s="253">
        <f t="shared" si="1"/>
        <v>-0.9009184342194524</v>
      </c>
    </row>
    <row r="40" spans="1:9" ht="15" customHeight="1">
      <c r="A40" s="254" t="s">
        <v>157</v>
      </c>
      <c r="B40" s="255" t="s">
        <v>156</v>
      </c>
      <c r="C40" s="257">
        <v>0.24048540098677457</v>
      </c>
      <c r="D40" s="256"/>
      <c r="E40" s="257">
        <v>0.23611872195687308</v>
      </c>
      <c r="F40" s="256"/>
      <c r="G40" s="298">
        <f t="shared" si="0"/>
        <v>-0.004366679029901482</v>
      </c>
      <c r="I40" s="253">
        <f t="shared" si="1"/>
        <v>-0.018157771789821142</v>
      </c>
    </row>
    <row r="41" spans="1:9" ht="15" customHeight="1" thickBot="1">
      <c r="A41" s="258" t="s">
        <v>102</v>
      </c>
      <c r="B41" s="259" t="s">
        <v>64</v>
      </c>
      <c r="C41" s="257">
        <v>12.313856851615748</v>
      </c>
      <c r="D41" s="256"/>
      <c r="E41" s="257">
        <v>9.015015443533661</v>
      </c>
      <c r="F41" s="256"/>
      <c r="G41" s="299">
        <f t="shared" si="0"/>
        <v>-3.2988414080820867</v>
      </c>
      <c r="I41" s="253">
        <f t="shared" si="1"/>
        <v>-0.2678966832109335</v>
      </c>
    </row>
    <row r="42" spans="1:9" ht="8.25" customHeight="1" thickBot="1">
      <c r="A42" s="260"/>
      <c r="B42" s="261"/>
      <c r="C42" s="262"/>
      <c r="D42" s="262"/>
      <c r="E42" s="262"/>
      <c r="F42" s="262"/>
      <c r="G42" s="300"/>
      <c r="I42" s="253"/>
    </row>
    <row r="43" spans="1:9" ht="21" customHeight="1" thickBot="1">
      <c r="A43" s="263"/>
      <c r="B43" s="264" t="s">
        <v>65</v>
      </c>
      <c r="C43" s="265">
        <v>1.57</v>
      </c>
      <c r="D43" s="265"/>
      <c r="E43" s="265">
        <v>1.41</v>
      </c>
      <c r="F43" s="265"/>
      <c r="G43" s="301">
        <f t="shared" si="0"/>
        <v>-0.16000000000000014</v>
      </c>
      <c r="I43" s="253">
        <f t="shared" si="1"/>
        <v>-0.1019108280254778</v>
      </c>
    </row>
    <row r="44" spans="1:7" ht="15" customHeight="1">
      <c r="A44" s="266"/>
      <c r="B44" s="267"/>
      <c r="C44" s="268"/>
      <c r="D44" s="268"/>
      <c r="E44" s="268"/>
      <c r="F44" s="268"/>
      <c r="G44" s="268"/>
    </row>
    <row r="45" spans="1:4" ht="14.25">
      <c r="A45" s="269" t="s">
        <v>160</v>
      </c>
      <c r="B45" s="291" t="s">
        <v>191</v>
      </c>
      <c r="C45" s="270"/>
      <c r="D45" s="270"/>
    </row>
    <row r="46" spans="1:4" ht="14.25">
      <c r="A46" s="271"/>
      <c r="B46" s="291" t="s">
        <v>201</v>
      </c>
      <c r="C46" s="272"/>
      <c r="D46" s="272"/>
    </row>
    <row r="47" spans="1:4" ht="14.25">
      <c r="A47" s="273"/>
      <c r="B47" s="291" t="s">
        <v>192</v>
      </c>
      <c r="C47" s="274"/>
      <c r="D47" s="274"/>
    </row>
    <row r="48" spans="2:7" ht="14.25" customHeight="1">
      <c r="B48" s="468" t="s">
        <v>200</v>
      </c>
      <c r="C48" s="468"/>
      <c r="D48" s="468"/>
      <c r="E48" s="468"/>
      <c r="F48" s="468"/>
      <c r="G48" s="468"/>
    </row>
  </sheetData>
  <sheetProtection/>
  <mergeCells count="2">
    <mergeCell ref="A1:G1"/>
    <mergeCell ref="B48:G48"/>
  </mergeCells>
  <printOptions/>
  <pageMargins left="0.7" right="0.7" top="0.75" bottom="0.75" header="0.3" footer="0.3"/>
  <pageSetup fitToHeight="1" fitToWidth="1" horizontalDpi="1200" verticalDpi="1200" orientation="portrait" scale="92" r:id="rId1"/>
  <headerFooter>
    <oddFooter>&amp;LCalifornia Department of Insurance &amp;RRate Specialist Bureau-8/25/2023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00390625" style="440" customWidth="1"/>
    <col min="2" max="2" width="31.28125" style="432" customWidth="1"/>
    <col min="3" max="3" width="24.140625" style="441" bestFit="1" customWidth="1"/>
    <col min="4" max="4" width="19.140625" style="441" customWidth="1"/>
    <col min="5" max="5" width="0" style="415" hidden="1" customWidth="1"/>
    <col min="6" max="6" width="9.140625" style="432" hidden="1" customWidth="1"/>
    <col min="7" max="7" width="0" style="432" hidden="1" customWidth="1"/>
    <col min="8" max="16384" width="9.140625" style="432" customWidth="1"/>
  </cols>
  <sheetData>
    <row r="1" spans="1:5" s="416" customFormat="1" ht="17.25" customHeight="1">
      <c r="A1" s="469" t="s">
        <v>248</v>
      </c>
      <c r="B1" s="469"/>
      <c r="C1" s="469"/>
      <c r="D1" s="469"/>
      <c r="E1" s="415"/>
    </row>
    <row r="2" spans="1:5" s="416" customFormat="1" ht="18" customHeight="1">
      <c r="A2" s="470" t="s">
        <v>249</v>
      </c>
      <c r="B2" s="470"/>
      <c r="C2" s="470"/>
      <c r="D2" s="470"/>
      <c r="E2" s="415"/>
    </row>
    <row r="3" spans="1:5" s="416" customFormat="1" ht="12.75" customHeight="1">
      <c r="A3" s="417"/>
      <c r="B3" s="417"/>
      <c r="C3" s="417"/>
      <c r="D3" s="417"/>
      <c r="E3" s="415"/>
    </row>
    <row r="4" spans="1:5" s="416" customFormat="1" ht="12.75" customHeight="1">
      <c r="A4" s="417"/>
      <c r="B4" s="417"/>
      <c r="C4" s="417"/>
      <c r="D4"/>
      <c r="E4" s="415"/>
    </row>
    <row r="5" spans="1:5" s="419" customFormat="1" ht="6" customHeight="1" thickBot="1">
      <c r="A5" s="418"/>
      <c r="B5" s="418"/>
      <c r="C5" s="418"/>
      <c r="D5" s="418"/>
      <c r="E5" s="415"/>
    </row>
    <row r="6" spans="1:5" s="423" customFormat="1" ht="12.75" customHeight="1">
      <c r="A6" s="420"/>
      <c r="B6" s="421"/>
      <c r="C6" s="422" t="s">
        <v>34</v>
      </c>
      <c r="D6" s="420" t="s">
        <v>250</v>
      </c>
      <c r="E6" s="415"/>
    </row>
    <row r="7" spans="1:6" s="427" customFormat="1" ht="12.75" customHeight="1" thickBot="1">
      <c r="A7" s="424" t="s">
        <v>215</v>
      </c>
      <c r="B7" s="425" t="s">
        <v>0</v>
      </c>
      <c r="C7" s="426" t="s">
        <v>251</v>
      </c>
      <c r="D7" s="424" t="s">
        <v>15</v>
      </c>
      <c r="E7" s="415"/>
      <c r="F7" s="334" t="s">
        <v>219</v>
      </c>
    </row>
    <row r="8" spans="1:6" ht="15.75" customHeight="1">
      <c r="A8" s="428" t="s">
        <v>76</v>
      </c>
      <c r="B8" s="429" t="s">
        <v>41</v>
      </c>
      <c r="C8" s="430">
        <v>0.5205796112995335</v>
      </c>
      <c r="D8" s="431">
        <v>1.27</v>
      </c>
      <c r="F8" s="342" t="s">
        <v>161</v>
      </c>
    </row>
    <row r="9" spans="1:6" ht="12.75" customHeight="1">
      <c r="A9" s="433" t="s">
        <v>77</v>
      </c>
      <c r="B9" s="429" t="s">
        <v>42</v>
      </c>
      <c r="C9" s="430">
        <v>0.5037363375616242</v>
      </c>
      <c r="D9" s="430">
        <v>0.92</v>
      </c>
      <c r="F9" s="342" t="s">
        <v>161</v>
      </c>
    </row>
    <row r="10" spans="1:6" ht="15" customHeight="1" hidden="1">
      <c r="A10" s="433" t="s">
        <v>178</v>
      </c>
      <c r="B10" s="429" t="s">
        <v>119</v>
      </c>
      <c r="C10" s="430">
        <v>0.22560199354176563</v>
      </c>
      <c r="D10" s="434"/>
      <c r="F10" s="342"/>
    </row>
    <row r="11" spans="1:6" ht="15" customHeight="1" hidden="1">
      <c r="A11" s="433" t="s">
        <v>179</v>
      </c>
      <c r="B11" s="429" t="s">
        <v>120</v>
      </c>
      <c r="C11" s="430">
        <v>0.5340213325761037</v>
      </c>
      <c r="D11" s="434"/>
      <c r="F11" s="342"/>
    </row>
    <row r="12" spans="1:6" ht="15" customHeight="1">
      <c r="A12" s="433" t="s">
        <v>180</v>
      </c>
      <c r="B12" s="429" t="s">
        <v>181</v>
      </c>
      <c r="C12" s="430">
        <v>0.03899571383232356</v>
      </c>
      <c r="D12" s="430">
        <v>7.36</v>
      </c>
      <c r="F12" s="342" t="s">
        <v>161</v>
      </c>
    </row>
    <row r="13" spans="1:6" ht="15" customHeight="1">
      <c r="A13" s="433" t="s">
        <v>185</v>
      </c>
      <c r="B13" s="429" t="s">
        <v>186</v>
      </c>
      <c r="C13" s="430">
        <v>0.4981761347489268</v>
      </c>
      <c r="D13" s="430">
        <v>2.12</v>
      </c>
      <c r="F13" s="342" t="s">
        <v>161</v>
      </c>
    </row>
    <row r="14" spans="1:6" ht="12.75" customHeight="1">
      <c r="A14" s="435" t="s">
        <v>78</v>
      </c>
      <c r="B14" s="429" t="s">
        <v>43</v>
      </c>
      <c r="C14" s="430">
        <v>0.4708101824345417</v>
      </c>
      <c r="D14" s="430">
        <v>2.5</v>
      </c>
      <c r="F14" s="342" t="s">
        <v>161</v>
      </c>
    </row>
    <row r="15" spans="1:6" ht="12.75" customHeight="1">
      <c r="A15" s="436" t="s">
        <v>79</v>
      </c>
      <c r="B15" s="429" t="s">
        <v>44</v>
      </c>
      <c r="C15" s="430">
        <v>0.5181954561669329</v>
      </c>
      <c r="D15" s="430">
        <v>0.87</v>
      </c>
      <c r="F15" s="342" t="s">
        <v>161</v>
      </c>
    </row>
    <row r="16" spans="1:6" ht="12.75" customHeight="1">
      <c r="A16" s="436" t="s">
        <v>142</v>
      </c>
      <c r="B16" s="429" t="s">
        <v>141</v>
      </c>
      <c r="C16" s="430">
        <v>0.4795271561934746</v>
      </c>
      <c r="D16" s="430">
        <v>1.86</v>
      </c>
      <c r="F16" s="342" t="s">
        <v>161</v>
      </c>
    </row>
    <row r="17" spans="1:6" ht="12.75" customHeight="1">
      <c r="A17" s="436" t="s">
        <v>80</v>
      </c>
      <c r="B17" s="429" t="s">
        <v>252</v>
      </c>
      <c r="C17" s="430">
        <v>0.4840848405771901</v>
      </c>
      <c r="D17" s="430">
        <v>0.96</v>
      </c>
      <c r="F17" s="342" t="s">
        <v>161</v>
      </c>
    </row>
    <row r="18" spans="1:6" ht="12.75" customHeight="1">
      <c r="A18" s="436" t="s">
        <v>81</v>
      </c>
      <c r="B18" s="429" t="s">
        <v>253</v>
      </c>
      <c r="C18" s="430">
        <v>0.47147997791220864</v>
      </c>
      <c r="D18" s="430">
        <v>2.91</v>
      </c>
      <c r="F18" s="342" t="s">
        <v>161</v>
      </c>
    </row>
    <row r="19" spans="1:6" ht="15" customHeight="1" hidden="1">
      <c r="A19" s="436" t="s">
        <v>82</v>
      </c>
      <c r="B19" s="429" t="s">
        <v>47</v>
      </c>
      <c r="C19" s="430">
        <v>0.2262440130294703</v>
      </c>
      <c r="D19" s="434"/>
      <c r="F19" s="342"/>
    </row>
    <row r="20" spans="1:6" ht="15" customHeight="1" hidden="1">
      <c r="A20" s="436" t="s">
        <v>83</v>
      </c>
      <c r="B20" s="429" t="s">
        <v>84</v>
      </c>
      <c r="C20" s="430">
        <v>0.38000882854500356</v>
      </c>
      <c r="D20" s="434"/>
      <c r="F20" s="342"/>
    </row>
    <row r="21" spans="1:6" ht="12.75" customHeight="1">
      <c r="A21" s="436" t="s">
        <v>85</v>
      </c>
      <c r="B21" s="429" t="s">
        <v>48</v>
      </c>
      <c r="C21" s="430">
        <v>0.2891569615259126</v>
      </c>
      <c r="D21" s="430">
        <v>0.54</v>
      </c>
      <c r="F21" s="342" t="s">
        <v>161</v>
      </c>
    </row>
    <row r="22" spans="1:6" ht="15" customHeight="1" hidden="1">
      <c r="A22" s="433">
        <v>10</v>
      </c>
      <c r="B22" s="429" t="s">
        <v>49</v>
      </c>
      <c r="C22" s="430">
        <v>9.31723096744679</v>
      </c>
      <c r="D22" s="434"/>
      <c r="F22" s="342"/>
    </row>
    <row r="23" spans="1:6" ht="12.75" customHeight="1">
      <c r="A23" s="433">
        <v>11</v>
      </c>
      <c r="B23" s="429" t="s">
        <v>158</v>
      </c>
      <c r="C23" s="430">
        <v>0.5092461625097655</v>
      </c>
      <c r="D23" s="430">
        <v>6.16</v>
      </c>
      <c r="F23" s="342" t="s">
        <v>161</v>
      </c>
    </row>
    <row r="24" spans="1:6" ht="12.75" customHeight="1">
      <c r="A24" s="433">
        <v>11.1</v>
      </c>
      <c r="B24" s="429" t="s">
        <v>226</v>
      </c>
      <c r="C24" s="430">
        <v>1.2921398663660475</v>
      </c>
      <c r="D24" s="430">
        <v>27.23</v>
      </c>
      <c r="F24" s="342" t="s">
        <v>161</v>
      </c>
    </row>
    <row r="25" spans="1:6" ht="12.75" customHeight="1">
      <c r="A25" s="433">
        <v>11.2</v>
      </c>
      <c r="B25" s="429" t="s">
        <v>227</v>
      </c>
      <c r="C25" s="430">
        <v>0.3983952911820762</v>
      </c>
      <c r="D25" s="430">
        <v>4.81</v>
      </c>
      <c r="F25" s="342" t="s">
        <v>161</v>
      </c>
    </row>
    <row r="26" spans="1:6" ht="12.75" customHeight="1">
      <c r="A26" s="433">
        <v>12</v>
      </c>
      <c r="B26" s="429" t="s">
        <v>164</v>
      </c>
      <c r="C26" s="430">
        <v>0.4867576632812877</v>
      </c>
      <c r="D26" s="430">
        <v>1</v>
      </c>
      <c r="F26" s="342" t="s">
        <v>161</v>
      </c>
    </row>
    <row r="27" spans="1:6" ht="15" customHeight="1" hidden="1">
      <c r="A27" s="433">
        <v>13</v>
      </c>
      <c r="B27" s="429" t="s">
        <v>121</v>
      </c>
      <c r="C27" s="430">
        <v>0.9916709681644662</v>
      </c>
      <c r="D27" s="434"/>
      <c r="F27" s="342"/>
    </row>
    <row r="28" spans="1:6" ht="15" customHeight="1" hidden="1">
      <c r="A28" s="433">
        <v>14</v>
      </c>
      <c r="B28" s="429" t="s">
        <v>122</v>
      </c>
      <c r="C28" s="430">
        <v>0.3672685823984642</v>
      </c>
      <c r="D28" s="434"/>
      <c r="F28" s="342"/>
    </row>
    <row r="29" spans="1:6" ht="15" customHeight="1" hidden="1">
      <c r="A29" s="433">
        <v>15.1</v>
      </c>
      <c r="B29" s="429" t="s">
        <v>123</v>
      </c>
      <c r="C29" s="430">
        <v>0.014238179110981988</v>
      </c>
      <c r="D29" s="434"/>
      <c r="F29" s="342"/>
    </row>
    <row r="30" spans="1:6" ht="15" customHeight="1" hidden="1">
      <c r="A30" s="433">
        <v>15.2</v>
      </c>
      <c r="B30" s="429" t="s">
        <v>128</v>
      </c>
      <c r="C30" s="430">
        <v>0.0006169407490245572</v>
      </c>
      <c r="D30" s="434"/>
      <c r="F30" s="342"/>
    </row>
    <row r="31" spans="1:6" ht="15" customHeight="1" hidden="1">
      <c r="A31" s="433">
        <v>15.3</v>
      </c>
      <c r="B31" s="429" t="s">
        <v>129</v>
      </c>
      <c r="C31" s="430">
        <v>52.6053671615883</v>
      </c>
      <c r="D31" s="434"/>
      <c r="F31" s="342"/>
    </row>
    <row r="32" spans="1:6" ht="15" customHeight="1" hidden="1">
      <c r="A32" s="433">
        <v>15.4</v>
      </c>
      <c r="B32" s="429" t="s">
        <v>130</v>
      </c>
      <c r="C32" s="430">
        <v>0.18476550520771345</v>
      </c>
      <c r="D32" s="434"/>
      <c r="F32" s="342"/>
    </row>
    <row r="33" spans="1:6" ht="15" customHeight="1" hidden="1">
      <c r="A33" s="433">
        <v>15.5</v>
      </c>
      <c r="B33" s="429" t="s">
        <v>131</v>
      </c>
      <c r="C33" s="430" t="e">
        <v>#DIV/0!</v>
      </c>
      <c r="D33" s="434"/>
      <c r="F33" s="342"/>
    </row>
    <row r="34" spans="1:6" ht="15" customHeight="1" hidden="1">
      <c r="A34" s="433">
        <v>15.6</v>
      </c>
      <c r="B34" s="429" t="s">
        <v>228</v>
      </c>
      <c r="C34" s="430">
        <v>0</v>
      </c>
      <c r="D34" s="434"/>
      <c r="F34" s="342"/>
    </row>
    <row r="35" spans="1:6" ht="15" customHeight="1" hidden="1">
      <c r="A35" s="433">
        <v>15.7</v>
      </c>
      <c r="B35" s="429" t="s">
        <v>132</v>
      </c>
      <c r="C35" s="430">
        <v>0.23576801780354548</v>
      </c>
      <c r="D35" s="434"/>
      <c r="F35" s="342"/>
    </row>
    <row r="36" spans="1:6" ht="15" customHeight="1" hidden="1">
      <c r="A36" s="433">
        <v>15.8</v>
      </c>
      <c r="B36" s="429" t="s">
        <v>133</v>
      </c>
      <c r="C36" s="430">
        <v>0</v>
      </c>
      <c r="D36" s="434"/>
      <c r="F36" s="342"/>
    </row>
    <row r="37" spans="1:6" ht="15" customHeight="1" hidden="1">
      <c r="A37" s="433">
        <v>16</v>
      </c>
      <c r="B37" s="429" t="s">
        <v>124</v>
      </c>
      <c r="C37" s="430">
        <v>0.30761426922816976</v>
      </c>
      <c r="D37" s="434"/>
      <c r="F37" s="342"/>
    </row>
    <row r="38" spans="1:6" ht="12.75" customHeight="1">
      <c r="A38" s="433">
        <v>17</v>
      </c>
      <c r="B38" s="429" t="s">
        <v>52</v>
      </c>
      <c r="C38" s="430">
        <v>0.5659158957474921</v>
      </c>
      <c r="D38" s="430">
        <v>3.08</v>
      </c>
      <c r="F38" s="342" t="s">
        <v>161</v>
      </c>
    </row>
    <row r="39" spans="1:6" ht="12.75" customHeight="1">
      <c r="A39" s="433">
        <v>17.1</v>
      </c>
      <c r="B39" s="429" t="s">
        <v>230</v>
      </c>
      <c r="C39" s="430">
        <v>0.5360621327556994</v>
      </c>
      <c r="D39" s="430">
        <v>3.34</v>
      </c>
      <c r="F39" s="342" t="s">
        <v>161</v>
      </c>
    </row>
    <row r="40" spans="1:6" ht="12.75" customHeight="1">
      <c r="A40" s="433">
        <v>17.2</v>
      </c>
      <c r="B40" s="429" t="s">
        <v>231</v>
      </c>
      <c r="C40" s="430">
        <v>0.5962257540553371</v>
      </c>
      <c r="D40" s="430">
        <v>2.73</v>
      </c>
      <c r="F40" s="342" t="s">
        <v>161</v>
      </c>
    </row>
    <row r="41" spans="1:6" ht="15" customHeight="1" hidden="1">
      <c r="A41" s="433">
        <v>17.3</v>
      </c>
      <c r="B41" s="429" t="s">
        <v>182</v>
      </c>
      <c r="C41" s="430">
        <v>0.37818829487452044</v>
      </c>
      <c r="D41" s="434"/>
      <c r="F41" s="342"/>
    </row>
    <row r="42" spans="1:6" ht="12.75" customHeight="1">
      <c r="A42" s="433">
        <v>18</v>
      </c>
      <c r="B42" s="429" t="s">
        <v>53</v>
      </c>
      <c r="C42" s="430">
        <v>0.47872020258499437</v>
      </c>
      <c r="D42" s="430">
        <v>6.39</v>
      </c>
      <c r="F42" s="342" t="s">
        <v>161</v>
      </c>
    </row>
    <row r="43" spans="1:6" ht="12.75" customHeight="1">
      <c r="A43" s="433">
        <v>18.1</v>
      </c>
      <c r="B43" s="429" t="s">
        <v>232</v>
      </c>
      <c r="C43" s="430">
        <v>0.5052639560230221</v>
      </c>
      <c r="D43" s="430">
        <v>6.92</v>
      </c>
      <c r="F43" s="342" t="s">
        <v>161</v>
      </c>
    </row>
    <row r="44" spans="1:6" ht="12.75" customHeight="1">
      <c r="A44" s="433">
        <v>18.2</v>
      </c>
      <c r="B44" s="429" t="s">
        <v>233</v>
      </c>
      <c r="C44" s="430">
        <v>0.4022171979735766</v>
      </c>
      <c r="D44" s="430">
        <v>4.1</v>
      </c>
      <c r="F44" s="342" t="s">
        <v>161</v>
      </c>
    </row>
    <row r="45" spans="1:6" ht="15" customHeight="1" hidden="1">
      <c r="A45" s="433">
        <v>19.1</v>
      </c>
      <c r="B45" s="429" t="s">
        <v>126</v>
      </c>
      <c r="C45" s="430">
        <v>0.6176599045595326</v>
      </c>
      <c r="D45" s="434"/>
      <c r="F45" s="342"/>
    </row>
    <row r="46" spans="1:6" ht="12.75" customHeight="1">
      <c r="A46" s="433" t="s">
        <v>175</v>
      </c>
      <c r="B46" s="429" t="s">
        <v>154</v>
      </c>
      <c r="C46" s="430">
        <v>0.3220603218649371</v>
      </c>
      <c r="D46" s="430">
        <v>0.69</v>
      </c>
      <c r="F46" s="342" t="s">
        <v>161</v>
      </c>
    </row>
    <row r="47" spans="1:6" ht="12.75" customHeight="1">
      <c r="A47" s="433">
        <v>19.2</v>
      </c>
      <c r="B47" s="429" t="s">
        <v>54</v>
      </c>
      <c r="C47" s="430">
        <v>0.32017913922712216</v>
      </c>
      <c r="D47" s="430">
        <v>1.16</v>
      </c>
      <c r="F47" s="342" t="s">
        <v>161</v>
      </c>
    </row>
    <row r="48" spans="1:6" ht="15" customHeight="1" hidden="1">
      <c r="A48" s="433">
        <v>19.3</v>
      </c>
      <c r="B48" s="429" t="s">
        <v>183</v>
      </c>
      <c r="C48" s="430">
        <v>0.9484768851198929</v>
      </c>
      <c r="D48" s="434"/>
      <c r="F48" s="342"/>
    </row>
    <row r="49" spans="1:6" ht="12.75" customHeight="1">
      <c r="A49" s="433" t="s">
        <v>176</v>
      </c>
      <c r="B49" s="429" t="s">
        <v>155</v>
      </c>
      <c r="C49" s="430">
        <v>0.4324686436499683</v>
      </c>
      <c r="D49" s="430">
        <v>1.53</v>
      </c>
      <c r="F49" s="342" t="s">
        <v>161</v>
      </c>
    </row>
    <row r="50" spans="1:6" ht="12.75" customHeight="1">
      <c r="A50" s="433">
        <v>19.4</v>
      </c>
      <c r="B50" s="429" t="s">
        <v>55</v>
      </c>
      <c r="C50" s="430">
        <v>0.4338585558700181</v>
      </c>
      <c r="D50" s="430">
        <v>1.72</v>
      </c>
      <c r="F50" s="342" t="s">
        <v>161</v>
      </c>
    </row>
    <row r="51" spans="1:6" ht="12.75" customHeight="1">
      <c r="A51" s="433">
        <v>21.1</v>
      </c>
      <c r="B51" s="429" t="s">
        <v>56</v>
      </c>
      <c r="C51" s="430">
        <v>0.32435632722221575</v>
      </c>
      <c r="D51" s="430">
        <v>0.1</v>
      </c>
      <c r="F51" s="342" t="s">
        <v>161</v>
      </c>
    </row>
    <row r="52" spans="1:6" ht="12.75" customHeight="1">
      <c r="A52" s="433">
        <v>21.2</v>
      </c>
      <c r="B52" s="429" t="s">
        <v>57</v>
      </c>
      <c r="C52" s="430">
        <v>0.4269770350823938</v>
      </c>
      <c r="D52" s="430">
        <v>0.35</v>
      </c>
      <c r="F52" s="342" t="s">
        <v>161</v>
      </c>
    </row>
    <row r="53" spans="1:6" ht="12.75" customHeight="1">
      <c r="A53" s="433">
        <v>22</v>
      </c>
      <c r="B53" s="429" t="s">
        <v>58</v>
      </c>
      <c r="C53" s="430">
        <v>0.39770382784284697</v>
      </c>
      <c r="D53" s="430">
        <v>1.87</v>
      </c>
      <c r="F53" s="342" t="s">
        <v>161</v>
      </c>
    </row>
    <row r="54" spans="1:6" ht="12.75" customHeight="1">
      <c r="A54" s="433">
        <v>23</v>
      </c>
      <c r="B54" s="429" t="s">
        <v>59</v>
      </c>
      <c r="C54" s="430">
        <v>0.5781459970441097</v>
      </c>
      <c r="D54" s="430">
        <v>2.5</v>
      </c>
      <c r="F54" s="342" t="s">
        <v>161</v>
      </c>
    </row>
    <row r="55" spans="1:6" ht="12.75" customHeight="1">
      <c r="A55" s="433">
        <v>24</v>
      </c>
      <c r="B55" s="429" t="s">
        <v>60</v>
      </c>
      <c r="C55" s="430">
        <v>0.6053069891904211</v>
      </c>
      <c r="D55" s="430">
        <v>2.73</v>
      </c>
      <c r="F55" s="342" t="s">
        <v>161</v>
      </c>
    </row>
    <row r="56" spans="1:6" ht="12.75" customHeight="1">
      <c r="A56" s="433">
        <v>26</v>
      </c>
      <c r="B56" s="429" t="s">
        <v>163</v>
      </c>
      <c r="C56" s="430">
        <v>0.5463447803664738</v>
      </c>
      <c r="D56" s="430">
        <v>0.81</v>
      </c>
      <c r="F56" s="342" t="s">
        <v>161</v>
      </c>
    </row>
    <row r="57" spans="1:6" ht="12.75" customHeight="1">
      <c r="A57" s="433">
        <v>27</v>
      </c>
      <c r="B57" s="429" t="s">
        <v>62</v>
      </c>
      <c r="C57" s="430">
        <v>0.5875060831167176</v>
      </c>
      <c r="D57" s="430">
        <v>1.51</v>
      </c>
      <c r="F57" s="342" t="s">
        <v>161</v>
      </c>
    </row>
    <row r="58" spans="1:6" ht="12.75" customHeight="1">
      <c r="A58" s="433">
        <v>28</v>
      </c>
      <c r="B58" s="429" t="s">
        <v>63</v>
      </c>
      <c r="C58" s="430">
        <v>0.39118030828960126</v>
      </c>
      <c r="D58" s="430">
        <v>1.21</v>
      </c>
      <c r="F58" s="342" t="s">
        <v>161</v>
      </c>
    </row>
    <row r="59" spans="1:6" ht="12.75" customHeight="1" hidden="1">
      <c r="A59" s="398">
        <v>29</v>
      </c>
      <c r="B59" s="392" t="s">
        <v>197</v>
      </c>
      <c r="C59" s="430">
        <v>0.2980132450331126</v>
      </c>
      <c r="D59" s="434"/>
      <c r="F59" s="342"/>
    </row>
    <row r="60" spans="1:6" ht="12.75" customHeight="1">
      <c r="A60" s="433">
        <v>30</v>
      </c>
      <c r="B60" s="429" t="s">
        <v>156</v>
      </c>
      <c r="C60" s="430">
        <v>1.8049649893826065</v>
      </c>
      <c r="D60" s="430">
        <v>0.24</v>
      </c>
      <c r="F60" s="342" t="s">
        <v>161</v>
      </c>
    </row>
    <row r="61" spans="1:6" ht="12.75" customHeight="1">
      <c r="A61" s="433">
        <v>34</v>
      </c>
      <c r="B61" s="429" t="s">
        <v>64</v>
      </c>
      <c r="C61" s="430">
        <v>0.4734903849857362</v>
      </c>
      <c r="D61" s="430">
        <v>9.02</v>
      </c>
      <c r="F61" s="342" t="s">
        <v>161</v>
      </c>
    </row>
    <row r="62" spans="1:6" ht="15" customHeight="1" hidden="1">
      <c r="A62" s="433">
        <v>35</v>
      </c>
      <c r="B62" s="429" t="s">
        <v>65</v>
      </c>
      <c r="C62" s="430">
        <v>0.4371003516375123</v>
      </c>
      <c r="D62" s="434"/>
      <c r="F62" s="342"/>
    </row>
    <row r="63" spans="1:6" ht="12.75" customHeight="1">
      <c r="A63" s="433"/>
      <c r="B63" s="429" t="s">
        <v>240</v>
      </c>
      <c r="C63" s="430">
        <v>0.436626678614007</v>
      </c>
      <c r="D63" s="430">
        <v>1.41</v>
      </c>
      <c r="F63" s="342" t="s">
        <v>161</v>
      </c>
    </row>
    <row r="64" spans="1:6" ht="12.75" customHeight="1">
      <c r="A64" s="437"/>
      <c r="B64" s="438"/>
      <c r="C64" s="439"/>
      <c r="D64" s="439"/>
      <c r="F64" s="342"/>
    </row>
    <row r="65" ht="11.25" customHeight="1"/>
    <row r="66" spans="1:5" s="446" customFormat="1" ht="12">
      <c r="A66" s="442" t="s">
        <v>160</v>
      </c>
      <c r="B66" s="443"/>
      <c r="C66" s="444"/>
      <c r="D66" s="444"/>
      <c r="E66" s="445"/>
    </row>
    <row r="67" spans="1:5" ht="12" customHeight="1">
      <c r="A67" s="442" t="s">
        <v>254</v>
      </c>
      <c r="B67" s="442"/>
      <c r="C67" s="442"/>
      <c r="D67" s="442"/>
      <c r="E67" s="442"/>
    </row>
    <row r="68" spans="1:5" ht="12" customHeight="1">
      <c r="A68" s="447" t="s">
        <v>255</v>
      </c>
      <c r="B68" s="447"/>
      <c r="C68" s="447"/>
      <c r="D68" s="447"/>
      <c r="E68" s="447"/>
    </row>
    <row r="69" spans="1:5" ht="12" customHeight="1">
      <c r="A69" s="442" t="s">
        <v>256</v>
      </c>
      <c r="B69" s="442"/>
      <c r="C69" s="442"/>
      <c r="D69" s="442"/>
      <c r="E69" s="442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1200" verticalDpi="1200" orientation="portrait" r:id="rId1"/>
  <headerFooter>
    <oddFooter>&amp;LCalifornia Department of Insurance &amp;RRate Specialist Bureau-8/25/2023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471"/>
      <c r="B1" s="471"/>
      <c r="C1" s="471"/>
      <c r="D1" s="471"/>
      <c r="E1" s="471"/>
      <c r="F1" s="471"/>
      <c r="G1" s="471"/>
      <c r="H1" s="471"/>
      <c r="I1" s="471"/>
      <c r="J1" s="471"/>
    </row>
    <row r="2" spans="1:10" ht="12.75">
      <c r="A2" s="19"/>
      <c r="B2" s="19"/>
      <c r="C2" s="18" t="s">
        <v>1</v>
      </c>
      <c r="D2" s="18" t="s">
        <v>2</v>
      </c>
      <c r="E2" s="18" t="s">
        <v>19</v>
      </c>
      <c r="F2" s="18" t="s">
        <v>6</v>
      </c>
      <c r="G2" s="18" t="s">
        <v>8</v>
      </c>
      <c r="H2" s="18" t="s">
        <v>9</v>
      </c>
      <c r="I2" s="19"/>
      <c r="J2" s="24"/>
    </row>
    <row r="3" spans="1:10" ht="12.75">
      <c r="A3" s="17"/>
      <c r="B3" s="17"/>
      <c r="C3" s="16">
        <v>2005</v>
      </c>
      <c r="D3" s="16">
        <v>2005</v>
      </c>
      <c r="E3" s="16">
        <v>2005</v>
      </c>
      <c r="F3" s="16">
        <v>2005</v>
      </c>
      <c r="G3" s="16">
        <v>2005</v>
      </c>
      <c r="H3" s="16">
        <v>2005</v>
      </c>
      <c r="I3" s="16">
        <v>2005</v>
      </c>
      <c r="J3" s="33">
        <v>2005</v>
      </c>
    </row>
    <row r="4" spans="1:10" ht="12.75">
      <c r="A4" s="17"/>
      <c r="B4" s="17"/>
      <c r="C4" s="16" t="s">
        <v>16</v>
      </c>
      <c r="D4" s="16" t="s">
        <v>18</v>
      </c>
      <c r="E4" s="16" t="s">
        <v>20</v>
      </c>
      <c r="F4" s="16" t="s">
        <v>21</v>
      </c>
      <c r="G4" s="16" t="s">
        <v>22</v>
      </c>
      <c r="H4" s="16" t="s">
        <v>10</v>
      </c>
      <c r="I4" s="16" t="s">
        <v>103</v>
      </c>
      <c r="J4" s="33" t="s">
        <v>104</v>
      </c>
    </row>
    <row r="5" spans="1:10" ht="12.75">
      <c r="A5" s="17"/>
      <c r="B5" s="17" t="s">
        <v>0</v>
      </c>
      <c r="C5" s="16" t="s">
        <v>17</v>
      </c>
      <c r="D5" s="16" t="s">
        <v>17</v>
      </c>
      <c r="E5" s="16" t="s">
        <v>17</v>
      </c>
      <c r="F5" s="16" t="s">
        <v>106</v>
      </c>
      <c r="G5" s="16" t="s">
        <v>106</v>
      </c>
      <c r="H5" s="16" t="s">
        <v>7</v>
      </c>
      <c r="I5" s="16" t="s">
        <v>107</v>
      </c>
      <c r="J5" s="33"/>
    </row>
    <row r="6" spans="1:10" ht="11.25" customHeight="1" thickBot="1">
      <c r="A6" s="47"/>
      <c r="B6" s="47"/>
      <c r="C6" s="20" t="s">
        <v>108</v>
      </c>
      <c r="D6" s="20" t="s">
        <v>108</v>
      </c>
      <c r="E6" s="20" t="s">
        <v>108</v>
      </c>
      <c r="F6" s="21"/>
      <c r="G6" s="21"/>
      <c r="H6" s="23" t="s">
        <v>116</v>
      </c>
      <c r="I6" s="20" t="s">
        <v>108</v>
      </c>
      <c r="J6" s="25"/>
    </row>
    <row r="7" spans="1:10" ht="12.75" customHeight="1">
      <c r="A7" s="48">
        <v>1</v>
      </c>
      <c r="B7" s="50" t="s">
        <v>41</v>
      </c>
      <c r="C7" s="35">
        <v>201690</v>
      </c>
      <c r="D7" s="35">
        <v>5504687</v>
      </c>
      <c r="E7" s="35">
        <v>246421</v>
      </c>
      <c r="F7" s="36">
        <v>428974587</v>
      </c>
      <c r="G7" s="36">
        <v>22478238</v>
      </c>
      <c r="H7" s="37">
        <f aca="true" t="shared" si="0" ref="H7:H54">+C7*(F7+G7)/(D7+E7)</f>
        <v>15832344.006450582</v>
      </c>
      <c r="I7" s="37"/>
      <c r="J7" s="27"/>
    </row>
    <row r="8" spans="1:10" ht="12.75" customHeight="1">
      <c r="A8" s="48">
        <v>2.1</v>
      </c>
      <c r="B8" s="50" t="s">
        <v>42</v>
      </c>
      <c r="C8" s="38">
        <v>235835</v>
      </c>
      <c r="D8" s="38">
        <v>15000082</v>
      </c>
      <c r="E8" s="38">
        <v>356982</v>
      </c>
      <c r="F8" s="39">
        <v>606459109</v>
      </c>
      <c r="G8" s="39">
        <v>19524124</v>
      </c>
      <c r="H8" s="37">
        <f t="shared" si="0"/>
        <v>9613084.620507866</v>
      </c>
      <c r="I8" s="40"/>
      <c r="J8" s="28"/>
    </row>
    <row r="9" spans="1:10" ht="12.75" customHeight="1">
      <c r="A9" s="48">
        <v>2.2</v>
      </c>
      <c r="B9" s="50" t="s">
        <v>119</v>
      </c>
      <c r="C9" s="38">
        <v>9831</v>
      </c>
      <c r="D9" s="38">
        <v>685116</v>
      </c>
      <c r="E9" s="38">
        <v>4407</v>
      </c>
      <c r="F9" s="39">
        <v>33535928</v>
      </c>
      <c r="G9" s="39">
        <v>273463</v>
      </c>
      <c r="H9" s="37">
        <f t="shared" si="0"/>
        <v>482043.56188408507</v>
      </c>
      <c r="I9" s="40"/>
      <c r="J9" s="28"/>
    </row>
    <row r="10" spans="1:10" ht="12.75" customHeight="1">
      <c r="A10" s="48">
        <v>2.3</v>
      </c>
      <c r="B10" s="50" t="s">
        <v>120</v>
      </c>
      <c r="C10" s="38">
        <v>274633</v>
      </c>
      <c r="D10" s="38">
        <v>3555874</v>
      </c>
      <c r="E10" s="38">
        <v>44318</v>
      </c>
      <c r="F10" s="39">
        <v>9255566</v>
      </c>
      <c r="G10" s="39">
        <v>157325</v>
      </c>
      <c r="H10" s="37">
        <f t="shared" si="0"/>
        <v>718042.3971840946</v>
      </c>
      <c r="I10" s="40"/>
      <c r="J10" s="28"/>
    </row>
    <row r="11" spans="1:10" ht="12.75" customHeight="1">
      <c r="A11" s="48">
        <v>3</v>
      </c>
      <c r="B11" s="50" t="s">
        <v>43</v>
      </c>
      <c r="C11" s="38">
        <v>56060</v>
      </c>
      <c r="D11" s="38">
        <v>731230</v>
      </c>
      <c r="E11" s="38">
        <v>84009</v>
      </c>
      <c r="F11" s="39">
        <v>72852394</v>
      </c>
      <c r="G11" s="39">
        <v>13817804</v>
      </c>
      <c r="H11" s="37">
        <f t="shared" si="0"/>
        <v>5959885.7511478225</v>
      </c>
      <c r="I11" s="40"/>
      <c r="J11" s="28"/>
    </row>
    <row r="12" spans="1:10" ht="12.75" customHeight="1">
      <c r="A12" s="48">
        <v>4</v>
      </c>
      <c r="B12" s="50" t="s">
        <v>44</v>
      </c>
      <c r="C12" s="38">
        <v>2381191</v>
      </c>
      <c r="D12" s="38">
        <v>19885116</v>
      </c>
      <c r="E12" s="38">
        <v>1821343</v>
      </c>
      <c r="F12" s="39">
        <v>1557816591</v>
      </c>
      <c r="G12" s="39">
        <v>302574372</v>
      </c>
      <c r="H12" s="37">
        <f t="shared" si="0"/>
        <v>204084241.35769603</v>
      </c>
      <c r="I12" s="40"/>
      <c r="J12" s="28"/>
    </row>
    <row r="13" spans="1:10" ht="12.75" customHeight="1">
      <c r="A13" s="48">
        <v>5.1</v>
      </c>
      <c r="B13" s="50" t="s">
        <v>45</v>
      </c>
      <c r="C13" s="38">
        <v>666958</v>
      </c>
      <c r="D13" s="38">
        <v>13310471</v>
      </c>
      <c r="E13" s="38">
        <v>1622109</v>
      </c>
      <c r="F13" s="39">
        <v>951039927</v>
      </c>
      <c r="G13" s="39">
        <v>184327296</v>
      </c>
      <c r="H13" s="37">
        <f t="shared" si="0"/>
        <v>50710744.71508835</v>
      </c>
      <c r="I13" s="40"/>
      <c r="J13" s="28"/>
    </row>
    <row r="14" spans="1:10" ht="12.75" customHeight="1">
      <c r="A14" s="48">
        <v>5.2</v>
      </c>
      <c r="B14" s="50" t="s">
        <v>46</v>
      </c>
      <c r="C14" s="38">
        <v>1233739</v>
      </c>
      <c r="D14" s="38">
        <v>21239157</v>
      </c>
      <c r="E14" s="38">
        <v>7371790</v>
      </c>
      <c r="F14" s="39">
        <v>2608248755</v>
      </c>
      <c r="G14" s="39">
        <v>1200338792</v>
      </c>
      <c r="H14" s="37">
        <f t="shared" si="0"/>
        <v>164230949.49105436</v>
      </c>
      <c r="I14" s="40"/>
      <c r="J14" s="28"/>
    </row>
    <row r="15" spans="1:10" ht="12.75" customHeight="1">
      <c r="A15" s="48">
        <v>6</v>
      </c>
      <c r="B15" s="50" t="s">
        <v>47</v>
      </c>
      <c r="C15" s="38">
        <v>26897</v>
      </c>
      <c r="D15" s="38">
        <v>7259646</v>
      </c>
      <c r="E15" s="38">
        <v>64239</v>
      </c>
      <c r="F15" s="39">
        <v>676793005</v>
      </c>
      <c r="G15" s="39">
        <v>866693</v>
      </c>
      <c r="H15" s="37">
        <f t="shared" si="0"/>
        <v>2488708.233008301</v>
      </c>
      <c r="I15" s="40"/>
      <c r="J15" s="28"/>
    </row>
    <row r="16" spans="1:10" ht="12.75" customHeight="1">
      <c r="A16" s="48">
        <v>8</v>
      </c>
      <c r="B16" s="50" t="s">
        <v>84</v>
      </c>
      <c r="C16" s="38">
        <v>85791</v>
      </c>
      <c r="D16" s="38">
        <v>4160228</v>
      </c>
      <c r="E16" s="38">
        <v>340237</v>
      </c>
      <c r="F16" s="39">
        <v>368901943</v>
      </c>
      <c r="G16" s="39">
        <v>29208969</v>
      </c>
      <c r="H16" s="37">
        <f t="shared" si="0"/>
        <v>7589067.629987568</v>
      </c>
      <c r="I16" s="40"/>
      <c r="J16" s="28"/>
    </row>
    <row r="17" spans="1:10" ht="12.75" customHeight="1">
      <c r="A17" s="48">
        <v>9</v>
      </c>
      <c r="B17" s="50" t="s">
        <v>48</v>
      </c>
      <c r="C17" s="38">
        <v>279506</v>
      </c>
      <c r="D17" s="38">
        <v>6165215</v>
      </c>
      <c r="E17" s="38">
        <v>330402</v>
      </c>
      <c r="F17" s="39">
        <v>524125330</v>
      </c>
      <c r="G17" s="39">
        <v>43138138</v>
      </c>
      <c r="H17" s="37">
        <f t="shared" si="0"/>
        <v>24409312.138755716</v>
      </c>
      <c r="I17" s="40"/>
      <c r="J17" s="28"/>
    </row>
    <row r="18" spans="1:10" ht="12.75" customHeight="1">
      <c r="A18" s="48">
        <v>10</v>
      </c>
      <c r="B18" s="50" t="s">
        <v>49</v>
      </c>
      <c r="C18" s="38">
        <v>-33416</v>
      </c>
      <c r="D18" s="38">
        <v>698114</v>
      </c>
      <c r="E18" s="38">
        <v>-34440</v>
      </c>
      <c r="F18" s="39">
        <v>856366</v>
      </c>
      <c r="G18" s="39">
        <v>225298</v>
      </c>
      <c r="H18" s="37">
        <f t="shared" si="0"/>
        <v>-54461.8053803524</v>
      </c>
      <c r="I18" s="40"/>
      <c r="J18" s="28"/>
    </row>
    <row r="19" spans="1:10" ht="12.75" customHeight="1">
      <c r="A19" s="48">
        <v>11</v>
      </c>
      <c r="B19" s="50" t="s">
        <v>50</v>
      </c>
      <c r="C19" s="38">
        <v>1200996</v>
      </c>
      <c r="D19" s="38">
        <v>26829870</v>
      </c>
      <c r="E19" s="38">
        <v>7085811</v>
      </c>
      <c r="F19" s="39">
        <v>1308606178</v>
      </c>
      <c r="G19" s="39">
        <v>501867764</v>
      </c>
      <c r="H19" s="37">
        <f t="shared" si="0"/>
        <v>64111110.210236736</v>
      </c>
      <c r="I19" s="38">
        <f>SUM(I20:I21)</f>
        <v>21258516</v>
      </c>
      <c r="J19" s="29">
        <f>SUM(J20:J21)</f>
        <v>1</v>
      </c>
    </row>
    <row r="20" spans="1:10" ht="12.75" customHeight="1">
      <c r="A20" s="48"/>
      <c r="B20" s="26" t="s">
        <v>109</v>
      </c>
      <c r="C20" s="38">
        <f>+$J$20*C19</f>
        <v>494550.61187507166</v>
      </c>
      <c r="D20" s="38">
        <f>+$J$20*D19</f>
        <v>11048103.927930342</v>
      </c>
      <c r="E20" s="38">
        <f>+$J$20*E19</f>
        <v>2917821.67940702</v>
      </c>
      <c r="F20" s="41">
        <f>+$J$20*F19</f>
        <v>538862732.2933623</v>
      </c>
      <c r="G20" s="41">
        <f>+$J$20*G19</f>
        <v>206660979.5258053</v>
      </c>
      <c r="H20" s="37">
        <f t="shared" si="0"/>
        <v>26399912.058377154</v>
      </c>
      <c r="I20" s="38">
        <v>8753911</v>
      </c>
      <c r="J20" s="29">
        <f>+I20/I19</f>
        <v>0.41178372940049063</v>
      </c>
    </row>
    <row r="21" spans="1:10" ht="12.75" customHeight="1">
      <c r="A21" s="48"/>
      <c r="B21" s="26" t="s">
        <v>110</v>
      </c>
      <c r="C21" s="38">
        <f>+$J$21*C19</f>
        <v>706445.3881249285</v>
      </c>
      <c r="D21" s="38">
        <f>+$J$21*D19</f>
        <v>15781766.07206966</v>
      </c>
      <c r="E21" s="38">
        <f>+$J$21*E19</f>
        <v>4167989.3205929804</v>
      </c>
      <c r="F21" s="41">
        <f>+$J$21*F19</f>
        <v>769743445.7066379</v>
      </c>
      <c r="G21" s="41">
        <f>+$J$21*G19</f>
        <v>295206784.47419477</v>
      </c>
      <c r="H21" s="37">
        <f t="shared" si="0"/>
        <v>37711198.15185959</v>
      </c>
      <c r="I21" s="38">
        <v>12504605</v>
      </c>
      <c r="J21" s="29">
        <f>+I21/I19</f>
        <v>0.5882162705995094</v>
      </c>
    </row>
    <row r="22" spans="1:10" ht="12.75" customHeight="1">
      <c r="A22" s="48">
        <v>12</v>
      </c>
      <c r="B22" s="50" t="s">
        <v>51</v>
      </c>
      <c r="C22" s="38">
        <v>18032</v>
      </c>
      <c r="D22" s="38">
        <v>360258</v>
      </c>
      <c r="E22" s="38">
        <v>33445</v>
      </c>
      <c r="F22" s="39">
        <v>301350300</v>
      </c>
      <c r="G22" s="39">
        <v>28037538</v>
      </c>
      <c r="H22" s="37">
        <f t="shared" si="0"/>
        <v>15086299.811827697</v>
      </c>
      <c r="I22" s="40"/>
      <c r="J22" s="30"/>
    </row>
    <row r="23" spans="1:10" ht="12.75" customHeight="1">
      <c r="A23" s="48">
        <v>13</v>
      </c>
      <c r="B23" s="50" t="s">
        <v>121</v>
      </c>
      <c r="C23" s="38">
        <v>158262</v>
      </c>
      <c r="D23" s="38">
        <v>2745068</v>
      </c>
      <c r="E23" s="38">
        <v>32035</v>
      </c>
      <c r="F23" s="39">
        <v>190233752</v>
      </c>
      <c r="G23" s="39">
        <v>1809601</v>
      </c>
      <c r="H23" s="37">
        <f t="shared" si="0"/>
        <v>10944198.012276102</v>
      </c>
      <c r="I23" s="40"/>
      <c r="J23" s="30"/>
    </row>
    <row r="24" spans="1:10" ht="12.75" customHeight="1">
      <c r="A24" s="48">
        <v>14</v>
      </c>
      <c r="B24" s="50" t="s">
        <v>122</v>
      </c>
      <c r="C24" s="38">
        <v>3904</v>
      </c>
      <c r="D24" s="38">
        <v>66050</v>
      </c>
      <c r="E24" s="38">
        <v>353</v>
      </c>
      <c r="F24" s="39">
        <v>4793052</v>
      </c>
      <c r="G24" s="39">
        <v>10267</v>
      </c>
      <c r="H24" s="37">
        <f t="shared" si="0"/>
        <v>282399.24967245455</v>
      </c>
      <c r="I24" s="40"/>
      <c r="J24" s="30"/>
    </row>
    <row r="25" spans="1:10" ht="12.75" customHeight="1">
      <c r="A25" s="48">
        <v>15</v>
      </c>
      <c r="B25" s="50" t="s">
        <v>134</v>
      </c>
      <c r="C25" s="38">
        <v>123120</v>
      </c>
      <c r="D25" s="38"/>
      <c r="E25" s="38"/>
      <c r="F25" s="39"/>
      <c r="G25" s="39"/>
      <c r="H25" s="37" t="e">
        <f t="shared" si="0"/>
        <v>#DIV/0!</v>
      </c>
      <c r="I25" s="40"/>
      <c r="J25" s="30"/>
    </row>
    <row r="26" spans="1:10" ht="12.75" customHeight="1">
      <c r="A26" s="48">
        <v>15.1</v>
      </c>
      <c r="B26" s="50" t="s">
        <v>123</v>
      </c>
      <c r="C26" s="38"/>
      <c r="D26" s="38">
        <v>17959</v>
      </c>
      <c r="E26" s="38">
        <v>430</v>
      </c>
      <c r="F26" s="39">
        <v>6990248</v>
      </c>
      <c r="G26" s="39">
        <v>252</v>
      </c>
      <c r="H26" s="37">
        <f t="shared" si="0"/>
        <v>0</v>
      </c>
      <c r="I26" s="40"/>
      <c r="J26" s="30"/>
    </row>
    <row r="27" spans="1:10" ht="12.75" customHeight="1">
      <c r="A27" s="48">
        <v>15.2</v>
      </c>
      <c r="B27" s="50" t="s">
        <v>128</v>
      </c>
      <c r="C27" s="38"/>
      <c r="D27" s="38">
        <v>311</v>
      </c>
      <c r="E27" s="38">
        <v>102</v>
      </c>
      <c r="F27" s="39">
        <v>2</v>
      </c>
      <c r="G27" s="39">
        <v>34</v>
      </c>
      <c r="H27" s="37">
        <f t="shared" si="0"/>
        <v>0</v>
      </c>
      <c r="I27" s="40"/>
      <c r="J27" s="30"/>
    </row>
    <row r="28" spans="1:10" ht="12.75" customHeight="1">
      <c r="A28" s="48">
        <v>15.3</v>
      </c>
      <c r="B28" s="50" t="s">
        <v>129</v>
      </c>
      <c r="C28" s="38"/>
      <c r="D28" s="38">
        <v>902459</v>
      </c>
      <c r="E28" s="38">
        <v>4105</v>
      </c>
      <c r="F28" s="39">
        <v>101943558</v>
      </c>
      <c r="G28" s="39">
        <v>515561</v>
      </c>
      <c r="H28" s="37">
        <f t="shared" si="0"/>
        <v>0</v>
      </c>
      <c r="I28" s="40"/>
      <c r="J28" s="30"/>
    </row>
    <row r="29" spans="1:10" ht="12.75" customHeight="1">
      <c r="A29" s="48">
        <v>15.4</v>
      </c>
      <c r="B29" s="50" t="s">
        <v>130</v>
      </c>
      <c r="C29" s="38"/>
      <c r="D29" s="38">
        <v>198339</v>
      </c>
      <c r="E29" s="38">
        <v>3159</v>
      </c>
      <c r="F29" s="39">
        <v>4389258</v>
      </c>
      <c r="G29" s="39">
        <v>70225</v>
      </c>
      <c r="H29" s="37">
        <f t="shared" si="0"/>
        <v>0</v>
      </c>
      <c r="I29" s="40"/>
      <c r="J29" s="30"/>
    </row>
    <row r="30" spans="1:10" ht="12.75" customHeight="1">
      <c r="A30" s="48">
        <v>15.5</v>
      </c>
      <c r="B30" s="50" t="s">
        <v>131</v>
      </c>
      <c r="C30" s="38"/>
      <c r="D30" s="38">
        <v>420008</v>
      </c>
      <c r="E30" s="38">
        <v>3216</v>
      </c>
      <c r="F30" s="39">
        <v>1063622</v>
      </c>
      <c r="G30" s="39">
        <v>41382</v>
      </c>
      <c r="H30" s="37">
        <f t="shared" si="0"/>
        <v>0</v>
      </c>
      <c r="I30" s="40"/>
      <c r="J30" s="30"/>
    </row>
    <row r="31" spans="1:10" ht="12.75" customHeight="1">
      <c r="A31" s="48">
        <v>15.6</v>
      </c>
      <c r="B31" s="50" t="s">
        <v>132</v>
      </c>
      <c r="C31" s="38"/>
      <c r="D31" s="38">
        <v>250785</v>
      </c>
      <c r="E31" s="38">
        <v>3009</v>
      </c>
      <c r="F31" s="39">
        <v>2668286</v>
      </c>
      <c r="G31" s="39">
        <v>-691716</v>
      </c>
      <c r="H31" s="37">
        <f t="shared" si="0"/>
        <v>0</v>
      </c>
      <c r="I31" s="40"/>
      <c r="J31" s="30"/>
    </row>
    <row r="32" spans="1:10" ht="12.75" customHeight="1">
      <c r="A32" s="48">
        <v>15.7</v>
      </c>
      <c r="B32" s="50" t="s">
        <v>133</v>
      </c>
      <c r="C32" s="38"/>
      <c r="D32" s="38">
        <v>115268</v>
      </c>
      <c r="E32" s="38"/>
      <c r="F32" s="39">
        <v>0</v>
      </c>
      <c r="G32" s="39">
        <v>0</v>
      </c>
      <c r="H32" s="37">
        <f t="shared" si="0"/>
        <v>0</v>
      </c>
      <c r="I32" s="40"/>
      <c r="J32" s="30"/>
    </row>
    <row r="33" spans="1:10" ht="12.75" customHeight="1">
      <c r="A33" s="48">
        <v>16</v>
      </c>
      <c r="B33" s="50" t="s">
        <v>124</v>
      </c>
      <c r="C33" s="38">
        <v>5980392</v>
      </c>
      <c r="D33" s="38">
        <v>133356707</v>
      </c>
      <c r="E33" s="38">
        <v>9775948</v>
      </c>
      <c r="F33" s="39">
        <v>31746022346</v>
      </c>
      <c r="G33" s="39">
        <v>2265228105</v>
      </c>
      <c r="H33" s="37">
        <f t="shared" si="0"/>
        <v>1421063628.7516415</v>
      </c>
      <c r="I33" s="40"/>
      <c r="J33" s="30"/>
    </row>
    <row r="34" spans="1:10" ht="12.75" customHeight="1">
      <c r="A34" s="48">
        <v>17</v>
      </c>
      <c r="B34" s="50" t="s">
        <v>52</v>
      </c>
      <c r="C34" s="38">
        <v>4181462</v>
      </c>
      <c r="D34" s="38">
        <v>117457699</v>
      </c>
      <c r="E34" s="38">
        <v>23494183</v>
      </c>
      <c r="F34" s="39">
        <v>15531775099</v>
      </c>
      <c r="G34" s="39">
        <v>3426773648</v>
      </c>
      <c r="H34" s="37">
        <f t="shared" si="0"/>
        <v>562422083.5925277</v>
      </c>
      <c r="I34" s="38">
        <f>+I35+I36</f>
        <v>84692440</v>
      </c>
      <c r="J34" s="29">
        <f>+J35+J36</f>
        <v>1</v>
      </c>
    </row>
    <row r="35" spans="1:10" ht="12.75" customHeight="1">
      <c r="A35" s="48"/>
      <c r="B35" s="26" t="s">
        <v>111</v>
      </c>
      <c r="C35" s="38">
        <f>+$J$35*C34</f>
        <v>3007645.135180944</v>
      </c>
      <c r="D35" s="38">
        <f>+$J$35*D34</f>
        <v>84485062.15933509</v>
      </c>
      <c r="E35" s="38">
        <f>+$J$35*E34</f>
        <v>16898913.63475283</v>
      </c>
      <c r="F35" s="41">
        <f>+$J$35*F34</f>
        <v>11171706885.589748</v>
      </c>
      <c r="G35" s="41">
        <f>+$J$35*G34</f>
        <v>2464812329.2220416</v>
      </c>
      <c r="H35" s="37">
        <f t="shared" si="0"/>
        <v>404539379.67997724</v>
      </c>
      <c r="I35" s="38">
        <v>60917642</v>
      </c>
      <c r="J35" s="30">
        <f>+I35/I34</f>
        <v>0.7192807528039102</v>
      </c>
    </row>
    <row r="36" spans="1:10" ht="12.75" customHeight="1">
      <c r="A36" s="48"/>
      <c r="B36" s="26" t="s">
        <v>112</v>
      </c>
      <c r="C36" s="38">
        <f>+$J$36*C34</f>
        <v>1173816.864819056</v>
      </c>
      <c r="D36" s="38">
        <f>+$J$36*D34</f>
        <v>32972636.840664905</v>
      </c>
      <c r="E36" s="38">
        <f>+$J$36*E34</f>
        <v>6595269.3652471695</v>
      </c>
      <c r="F36" s="41">
        <f>+$J$36*F34</f>
        <v>4360068213.410253</v>
      </c>
      <c r="G36" s="41">
        <f>+$J$36*G34</f>
        <v>961961318.7779583</v>
      </c>
      <c r="H36" s="37">
        <f t="shared" si="0"/>
        <v>157882703.91255066</v>
      </c>
      <c r="I36" s="38">
        <v>23774798</v>
      </c>
      <c r="J36" s="30">
        <f>+I36/I34</f>
        <v>0.28071924719608976</v>
      </c>
    </row>
    <row r="37" spans="1:10" ht="12.75" customHeight="1">
      <c r="A37" s="48">
        <v>18</v>
      </c>
      <c r="B37" s="50" t="s">
        <v>53</v>
      </c>
      <c r="C37" s="38">
        <v>710702</v>
      </c>
      <c r="D37" s="38">
        <v>16557817</v>
      </c>
      <c r="E37" s="38">
        <v>6090323</v>
      </c>
      <c r="F37" s="39">
        <v>2057495845</v>
      </c>
      <c r="G37" s="39">
        <v>789971625</v>
      </c>
      <c r="H37" s="37">
        <f t="shared" si="0"/>
        <v>89353952.50399989</v>
      </c>
      <c r="I37" s="38">
        <f>+I38+I39</f>
        <v>11504919</v>
      </c>
      <c r="J37" s="29">
        <f>+J38+J39</f>
        <v>1</v>
      </c>
    </row>
    <row r="38" spans="1:10" ht="12.75" customHeight="1">
      <c r="A38" s="48"/>
      <c r="B38" s="26" t="s">
        <v>113</v>
      </c>
      <c r="C38" s="38">
        <f>+$J$38*C37</f>
        <v>668157.3058534354</v>
      </c>
      <c r="D38" s="38">
        <f>+$J$38*D37</f>
        <v>15566617.791330561</v>
      </c>
      <c r="E38" s="38">
        <f>+$J$38*E37</f>
        <v>5725738.505670749</v>
      </c>
      <c r="F38" s="41">
        <f>+$J$38*F37</f>
        <v>1934328144.0038688</v>
      </c>
      <c r="G38" s="41">
        <f>+$J$38*G37</f>
        <v>742681619.9485303</v>
      </c>
      <c r="H38" s="37">
        <f t="shared" si="0"/>
        <v>84004964.3485292</v>
      </c>
      <c r="I38" s="38">
        <v>10816201</v>
      </c>
      <c r="J38" s="30">
        <f>+I38/I37</f>
        <v>0.9401370839725165</v>
      </c>
    </row>
    <row r="39" spans="1:10" ht="12.75" customHeight="1">
      <c r="A39" s="48"/>
      <c r="B39" s="26" t="s">
        <v>114</v>
      </c>
      <c r="C39" s="38">
        <f>+$J$39*C37</f>
        <v>42544.69414656461</v>
      </c>
      <c r="D39" s="38">
        <f>+$J$39*D37</f>
        <v>991199.2086694395</v>
      </c>
      <c r="E39" s="38">
        <f>+$J$39*E37</f>
        <v>364584.49432925164</v>
      </c>
      <c r="F39" s="41">
        <f>+$J$39*F37</f>
        <v>123167700.9961313</v>
      </c>
      <c r="G39" s="41">
        <f>+$J$39*G37</f>
        <v>47290005.05146972</v>
      </c>
      <c r="H39" s="37">
        <f t="shared" si="0"/>
        <v>5348988.155470697</v>
      </c>
      <c r="I39" s="38">
        <v>688718</v>
      </c>
      <c r="J39" s="30">
        <f>+I39/I37</f>
        <v>0.059862916027483545</v>
      </c>
    </row>
    <row r="40" spans="1:10" ht="12.75" customHeight="1">
      <c r="A40" s="48"/>
      <c r="B40" s="50" t="s">
        <v>126</v>
      </c>
      <c r="C40" s="38"/>
      <c r="D40" s="38">
        <v>20206708</v>
      </c>
      <c r="E40" s="38">
        <v>1328723</v>
      </c>
      <c r="F40" s="41">
        <v>16914895</v>
      </c>
      <c r="G40" s="41">
        <v>1824460</v>
      </c>
      <c r="H40" s="37">
        <f t="shared" si="0"/>
        <v>0</v>
      </c>
      <c r="I40" s="38"/>
      <c r="J40" s="30"/>
    </row>
    <row r="41" spans="1:10" ht="12.75" customHeight="1">
      <c r="A41" s="48">
        <v>19.2</v>
      </c>
      <c r="B41" s="50" t="s">
        <v>54</v>
      </c>
      <c r="C41" s="38">
        <v>6220391</v>
      </c>
      <c r="D41" s="38">
        <v>60663204</v>
      </c>
      <c r="E41" s="38">
        <v>8734964</v>
      </c>
      <c r="F41" s="39">
        <v>5624244659</v>
      </c>
      <c r="G41" s="39">
        <v>961231026</v>
      </c>
      <c r="H41" s="37">
        <f t="shared" si="0"/>
        <v>590278315.1522506</v>
      </c>
      <c r="I41" s="40"/>
      <c r="J41" s="31"/>
    </row>
    <row r="42" spans="1:10" ht="12.75" customHeight="1">
      <c r="A42" s="48">
        <v>19.3</v>
      </c>
      <c r="B42" s="50" t="s">
        <v>127</v>
      </c>
      <c r="C42" s="38"/>
      <c r="D42" s="38">
        <v>877933</v>
      </c>
      <c r="E42" s="38">
        <v>77782</v>
      </c>
      <c r="F42" s="39">
        <v>8700489</v>
      </c>
      <c r="G42" s="39">
        <v>226499</v>
      </c>
      <c r="H42" s="37">
        <f t="shared" si="0"/>
        <v>0</v>
      </c>
      <c r="I42" s="40"/>
      <c r="J42" s="31"/>
    </row>
    <row r="43" spans="1:10" ht="12.75" customHeight="1">
      <c r="A43" s="48">
        <v>19.4</v>
      </c>
      <c r="B43" s="50" t="s">
        <v>55</v>
      </c>
      <c r="C43" s="38">
        <v>1280860</v>
      </c>
      <c r="D43" s="38">
        <v>25809602</v>
      </c>
      <c r="E43" s="38">
        <v>3120096</v>
      </c>
      <c r="F43" s="39">
        <v>2340713769</v>
      </c>
      <c r="G43" s="39">
        <v>321664910</v>
      </c>
      <c r="H43" s="37">
        <f t="shared" si="0"/>
        <v>117876597.07971856</v>
      </c>
      <c r="I43" s="40"/>
      <c r="J43" s="28"/>
    </row>
    <row r="44" spans="1:10" ht="12.75" customHeight="1">
      <c r="A44" s="48">
        <v>21.1</v>
      </c>
      <c r="B44" s="50" t="s">
        <v>56</v>
      </c>
      <c r="C44" s="38">
        <v>1388087</v>
      </c>
      <c r="D44" s="38">
        <v>3217534</v>
      </c>
      <c r="E44" s="38">
        <v>246569</v>
      </c>
      <c r="F44" s="39">
        <v>323918268</v>
      </c>
      <c r="G44" s="39">
        <v>38444946</v>
      </c>
      <c r="H44" s="37">
        <f t="shared" si="0"/>
        <v>145201129.01712736</v>
      </c>
      <c r="I44" s="40"/>
      <c r="J44" s="28"/>
    </row>
    <row r="45" spans="1:10" ht="12.75" customHeight="1">
      <c r="A45" s="48">
        <v>21.2</v>
      </c>
      <c r="B45" s="50" t="s">
        <v>57</v>
      </c>
      <c r="C45" s="38">
        <v>121754</v>
      </c>
      <c r="D45" s="38">
        <v>876034</v>
      </c>
      <c r="E45" s="38">
        <v>115034</v>
      </c>
      <c r="F45" s="39">
        <v>97388717</v>
      </c>
      <c r="G45" s="39">
        <v>12004612</v>
      </c>
      <c r="H45" s="37">
        <f t="shared" si="0"/>
        <v>13439113.541216142</v>
      </c>
      <c r="I45" s="40"/>
      <c r="J45" s="28"/>
    </row>
    <row r="46" spans="1:10" ht="12.75" customHeight="1">
      <c r="A46" s="48">
        <v>22</v>
      </c>
      <c r="B46" s="50" t="s">
        <v>58</v>
      </c>
      <c r="C46" s="38">
        <v>43469</v>
      </c>
      <c r="D46" s="38">
        <v>4538341</v>
      </c>
      <c r="E46" s="38">
        <v>426875</v>
      </c>
      <c r="F46" s="39">
        <v>160928557</v>
      </c>
      <c r="G46" s="39">
        <v>22613051</v>
      </c>
      <c r="H46" s="37">
        <f t="shared" si="0"/>
        <v>1606852.583684577</v>
      </c>
      <c r="I46" s="40"/>
      <c r="J46" s="28"/>
    </row>
    <row r="47" spans="1:10" ht="12.75" customHeight="1">
      <c r="A47" s="48">
        <v>23</v>
      </c>
      <c r="B47" s="50" t="s">
        <v>59</v>
      </c>
      <c r="C47" s="38">
        <v>47846</v>
      </c>
      <c r="D47" s="38">
        <v>1256993</v>
      </c>
      <c r="E47" s="38">
        <v>147469</v>
      </c>
      <c r="F47" s="39">
        <v>137715307</v>
      </c>
      <c r="G47" s="39">
        <v>15550321</v>
      </c>
      <c r="H47" s="37">
        <f t="shared" si="0"/>
        <v>5221321.215731006</v>
      </c>
      <c r="I47" s="40"/>
      <c r="J47" s="28"/>
    </row>
    <row r="48" spans="1:10" ht="12.75" customHeight="1">
      <c r="A48" s="48">
        <v>24</v>
      </c>
      <c r="B48" s="50" t="s">
        <v>60</v>
      </c>
      <c r="C48" s="38">
        <v>152202</v>
      </c>
      <c r="D48" s="38">
        <v>3488016</v>
      </c>
      <c r="E48" s="38">
        <v>453446</v>
      </c>
      <c r="F48" s="39">
        <v>468381227</v>
      </c>
      <c r="G48" s="39">
        <v>55889761</v>
      </c>
      <c r="H48" s="37">
        <f t="shared" si="0"/>
        <v>20245049.404402733</v>
      </c>
      <c r="I48" s="40"/>
      <c r="J48" s="28"/>
    </row>
    <row r="49" spans="1:10" ht="12.75" customHeight="1">
      <c r="A49" s="48">
        <v>26</v>
      </c>
      <c r="B49" s="50" t="s">
        <v>61</v>
      </c>
      <c r="C49" s="38">
        <v>2822</v>
      </c>
      <c r="D49" s="38">
        <v>48057</v>
      </c>
      <c r="E49" s="38">
        <v>3486</v>
      </c>
      <c r="F49" s="39">
        <v>5595340</v>
      </c>
      <c r="G49" s="39">
        <v>699535</v>
      </c>
      <c r="H49" s="37">
        <f t="shared" si="0"/>
        <v>344646.94041867956</v>
      </c>
      <c r="I49" s="40"/>
      <c r="J49" s="28"/>
    </row>
    <row r="50" spans="1:10" ht="12.75" customHeight="1">
      <c r="A50" s="48">
        <v>27</v>
      </c>
      <c r="B50" s="50" t="s">
        <v>62</v>
      </c>
      <c r="C50" s="38">
        <v>18702</v>
      </c>
      <c r="D50" s="38">
        <v>384768</v>
      </c>
      <c r="E50" s="38">
        <v>32435</v>
      </c>
      <c r="F50" s="39">
        <v>28129945</v>
      </c>
      <c r="G50" s="39">
        <v>2157985</v>
      </c>
      <c r="H50" s="37">
        <f t="shared" si="0"/>
        <v>1357720.0232500725</v>
      </c>
      <c r="I50" s="40"/>
      <c r="J50" s="28"/>
    </row>
    <row r="51" spans="1:10" ht="12.75" customHeight="1">
      <c r="A51" s="48">
        <v>28</v>
      </c>
      <c r="B51" s="50" t="s">
        <v>63</v>
      </c>
      <c r="C51" s="38">
        <v>4924</v>
      </c>
      <c r="D51" s="38">
        <v>376766</v>
      </c>
      <c r="E51" s="38">
        <v>8232</v>
      </c>
      <c r="F51" s="39">
        <v>23127538</v>
      </c>
      <c r="G51" s="39">
        <v>641269</v>
      </c>
      <c r="H51" s="37">
        <f t="shared" si="0"/>
        <v>303995.3601525203</v>
      </c>
      <c r="I51" s="40"/>
      <c r="J51" s="28"/>
    </row>
    <row r="52" spans="1:10" ht="12.75" customHeight="1">
      <c r="A52" s="48">
        <v>29</v>
      </c>
      <c r="B52" s="50" t="s">
        <v>125</v>
      </c>
      <c r="C52" s="42">
        <v>-2352</v>
      </c>
      <c r="D52" s="42"/>
      <c r="E52" s="42"/>
      <c r="F52" s="43"/>
      <c r="G52" s="43"/>
      <c r="H52" s="37" t="e">
        <f t="shared" si="0"/>
        <v>#DIV/0!</v>
      </c>
      <c r="I52" s="44"/>
      <c r="J52" s="32"/>
    </row>
    <row r="53" spans="1:10" ht="12.75" customHeight="1" thickBot="1">
      <c r="A53" s="48">
        <v>33</v>
      </c>
      <c r="B53" s="50" t="s">
        <v>64</v>
      </c>
      <c r="C53" s="42">
        <v>36266</v>
      </c>
      <c r="D53" s="42">
        <v>1112228</v>
      </c>
      <c r="E53" s="42">
        <v>31262</v>
      </c>
      <c r="F53" s="43">
        <v>745177679</v>
      </c>
      <c r="G53" s="43">
        <v>36849546</v>
      </c>
      <c r="H53" s="37">
        <f t="shared" si="0"/>
        <v>24802140.238961425</v>
      </c>
      <c r="I53" s="44"/>
      <c r="J53" s="32"/>
    </row>
    <row r="54" spans="1:10" ht="21" customHeight="1" thickBot="1">
      <c r="A54" s="48">
        <v>34</v>
      </c>
      <c r="B54" s="50" t="s">
        <v>65</v>
      </c>
      <c r="C54" s="45">
        <f>SUM(C7:C53)-C19-C34-C37</f>
        <v>27110556</v>
      </c>
      <c r="D54" s="45">
        <f>SUM(D7:D53)-D19-D34-D37</f>
        <v>520329718</v>
      </c>
      <c r="E54" s="45">
        <f>SUM(E7:E53)-E19-E34-E37</f>
        <v>73504309.00000001</v>
      </c>
      <c r="F54" s="45">
        <f>SUM(F7:F53)-F19-F34-F37</f>
        <v>69077127437</v>
      </c>
      <c r="G54" s="45">
        <f>SUM(G7:G53)-G19-G34-G37</f>
        <v>10300362719</v>
      </c>
      <c r="H54" s="37">
        <f t="shared" si="0"/>
        <v>3623854131.2380652</v>
      </c>
      <c r="I54" s="46"/>
      <c r="J54" s="34"/>
    </row>
    <row r="55" spans="1:2" ht="12.75">
      <c r="A55" s="48"/>
      <c r="B55" s="48"/>
    </row>
    <row r="56" spans="1:8" ht="12.75">
      <c r="A56" s="22"/>
      <c r="B56" s="22"/>
      <c r="H56" s="49"/>
    </row>
    <row r="57" spans="1:7" ht="12.75">
      <c r="A57" s="22"/>
      <c r="B57" s="22"/>
      <c r="D57" s="49"/>
      <c r="G57" s="49"/>
    </row>
    <row r="58" ht="12.75">
      <c r="E58" s="49"/>
    </row>
  </sheetData>
  <sheetProtection/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Yen</dc:creator>
  <cp:keywords/>
  <dc:description/>
  <cp:lastModifiedBy>Ho, Fion</cp:lastModifiedBy>
  <cp:lastPrinted>2023-08-25T21:18:15Z</cp:lastPrinted>
  <dcterms:created xsi:type="dcterms:W3CDTF">2006-09-26T02:28:32Z</dcterms:created>
  <dcterms:modified xsi:type="dcterms:W3CDTF">2023-08-25T22:22:05Z</dcterms:modified>
  <cp:category/>
  <cp:version/>
  <cp:contentType/>
  <cp:contentStatus/>
</cp:coreProperties>
</file>