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855" tabRatio="820" firstSheet="1" activeTab="1"/>
  </bookViews>
  <sheets>
    <sheet name="Sheet4" sheetId="1" state="hidden" r:id="rId1"/>
    <sheet name="uep_res" sheetId="2" r:id="rId2"/>
    <sheet name="uep_res_20&amp;21" sheetId="3" r:id="rId3"/>
    <sheet name="reserve ratio" sheetId="4" r:id="rId4"/>
    <sheet name="aoe_2021" sheetId="5" r:id="rId5"/>
    <sheet name="aoe_2020" sheetId="6" r:id="rId6"/>
    <sheet name="reserve ratio 21 vs 20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externalReferences>
    <externalReference r:id="rId15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'uep_res'!$A$1:$G$62</definedName>
    <definedName name="_xlnm.Print_Area" localSheetId="2">'uep_res_20&amp;21'!$A$1:$E$62</definedName>
    <definedName name="_xlnm.Print_Titles" localSheetId="1">'uep_res'!$1:$6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2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<sst xmlns="http://schemas.openxmlformats.org/spreadsheetml/2006/main" count="1067" uniqueCount="262">
  <si>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</si>
  <si>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</si>
  <si>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</si>
  <si>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</si>
  <si>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</si>
  <si>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</si>
  <si>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</si>
  <si>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</si>
  <si>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</si>
  <si>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</si>
  <si>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</si>
  <si>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</si>
  <si>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</si>
  <si>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</si>
  <si>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</si>
  <si>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</si>
  <si>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</si>
  <si>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</si>
  <si>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</si>
  <si>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</si>
  <si>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</si>
  <si>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</si>
  <si>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</si>
  <si>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</si>
  <si>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</si>
  <si>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</si>
  <si>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</si>
  <si>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</si>
  <si>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</si>
  <si>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</si>
  <si>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</si>
  <si>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</si>
  <si>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</si>
  <si>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</si>
  <si>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</si>
  <si>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</si>
  <si>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</si>
  <si>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</si>
  <si>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</si>
  <si>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</si>
  <si>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</si>
  <si>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</si>
  <si>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</si>
  <si>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</si>
  <si>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</si>
  <si>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</si>
  <si>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</si>
  <si>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</si>
  <si>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</si>
  <si>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</si>
  <si>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</si>
  <si>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</si>
  <si>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</si>
  <si>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</si>
  <si>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</si>
  <si>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</si>
  <si>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</si>
  <si>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</si>
  <si>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</si>
  <si>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</si>
  <si>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</si>
  <si>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</si>
  <si>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</si>
  <si>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</si>
  <si>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</si>
  <si>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</si>
  <si>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</si>
  <si>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</si>
  <si>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</si>
  <si>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</si>
  <si>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</si>
  <si>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</si>
  <si>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</si>
  <si>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</si>
  <si>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</si>
  <si>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</si>
  <si>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</si>
  <si>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</si>
  <si>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</si>
  <si>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</si>
  <si>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</si>
  <si>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</si>
  <si>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</si>
  <si>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</si>
  <si>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</si>
  <si>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</si>
  <si>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</si>
  <si>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</si>
  <si>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</si>
  <si>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</si>
  <si>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</si>
  <si>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</si>
  <si>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</si>
  <si>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</si>
  <si>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</si>
  <si>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</si>
  <si>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</si>
  <si>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</si>
  <si>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</si>
  <si>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</si>
  <si>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</si>
  <si>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</si>
  <si>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</si>
  <si>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</si>
  <si>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</si>
  <si>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</si>
  <si>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</si>
  <si>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</si>
  <si>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</si>
  <si>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</si>
  <si>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</si>
  <si>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</si>
  <si>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</si>
  <si>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</si>
  <si>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</si>
  <si>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</si>
  <si>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</si>
  <si>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</si>
  <si>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</si>
  <si>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</si>
  <si>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</si>
  <si>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</si>
  <si>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</si>
  <si>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</si>
  <si>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</si>
  <si>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</si>
  <si>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</si>
  <si>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</si>
  <si>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</si>
  <si>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</si>
  <si>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</si>
  <si>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</si>
  <si>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</si>
  <si>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</si>
  <si>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</si>
  <si>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</si>
  <si>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</si>
  <si>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</si>
  <si>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</si>
  <si>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</si>
  <si>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</si>
  <si>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</si>
  <si>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</si>
  <si>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</si>
  <si>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</si>
  <si>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</si>
  <si>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</si>
  <si>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0.5(A/B)</t>
  </si>
  <si>
    <t>sum [4] thru [9]</t>
  </si>
  <si>
    <t>[11]</t>
  </si>
  <si>
    <t>[A] = sum[4] thru [9]</t>
  </si>
  <si>
    <t>Only for the TOTAL row</t>
  </si>
  <si>
    <t>[11] = [10]*[3]</t>
  </si>
  <si>
    <t>(Loss Reserve Ratio) * (TL IL &amp; DCCE)</t>
  </si>
  <si>
    <t>PPA LIAB &amp; PD</t>
  </si>
  <si>
    <t>COMLA LIAB &amp; PD</t>
  </si>
  <si>
    <t>WARRANTY</t>
  </si>
  <si>
    <t>30</t>
  </si>
  <si>
    <t>MED PROF LIAB</t>
  </si>
  <si>
    <t>17.2</t>
  </si>
  <si>
    <t>Notes: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</si>
  <si>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</si>
  <si>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</si>
  <si>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</si>
  <si>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</si>
  <si>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</si>
  <si>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</si>
  <si>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</si>
  <si>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</si>
  <si>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</si>
  <si>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</si>
  <si>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</si>
  <si>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</si>
  <si>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</si>
  <si>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</si>
  <si>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</si>
  <si>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19.2 &amp; 21.1</t>
  </si>
  <si>
    <t>19.4 &amp; 21.2</t>
  </si>
  <si>
    <t>The Loss Reserve Ratio for Burglary and Theft is the dollar-weighted average of the Loss Reserve Ratios for Fire, Allied Lines and Inland Marine.</t>
  </si>
  <si>
    <t>***</t>
  </si>
  <si>
    <t>02.4</t>
  </si>
  <si>
    <t>PRIVATE CROP</t>
  </si>
  <si>
    <t>02.5</t>
  </si>
  <si>
    <t>PRIVATE FLOOD</t>
  </si>
  <si>
    <t>hide</t>
  </si>
  <si>
    <t>Sum of 2016 (CA Loss Unpaid, CA DCCE Unpaid, Alloc CA AOE Unpaid) and 2015 (CA Loss Unpaid, CA DCCE Unpaid, Alloc CA AOE Unpaid)</t>
  </si>
  <si>
    <t>[B] = [3]</t>
  </si>
  <si>
    <t>% change</t>
  </si>
  <si>
    <t>****</t>
  </si>
  <si>
    <t>*       The Loss Reserve Ratio for Earthquake = 1.00.</t>
  </si>
  <si>
    <t xml:space="preserve">         for Fire, Allied Lines and Inland Marine.</t>
  </si>
  <si>
    <t>[9a]</t>
  </si>
  <si>
    <t>[9b]</t>
  </si>
  <si>
    <t>The Loss Reserve Ratio in the Total row is:  Sum of [11] divided by sum of [3]</t>
  </si>
  <si>
    <t>[10] = 0.5([4]+[5]+[6]+[7]+[8]+[9])/[3]</t>
  </si>
  <si>
    <t>*****</t>
  </si>
  <si>
    <t>p9_pt2_7</t>
  </si>
  <si>
    <t>[9a]/2</t>
  </si>
  <si>
    <t/>
  </si>
  <si>
    <t>***   These Loss Reserve Ratios are based on a 3-year weighted average due to anomalies in the data.</t>
  </si>
  <si>
    <t>****  These Loss Reserve Ratios are based on a 4-year weighted average due to anomalies in the data.</t>
  </si>
  <si>
    <t>*****  These Loss Reserve Ratios are based on a 5-year weighted average due to anomalies in the data.</t>
  </si>
  <si>
    <t>TOTAL - Loss Reserve Ratios are before adjustment.</t>
  </si>
  <si>
    <t>**     The Loss Reserve Ratio for Burglary and Theft is the dollar-weighted average of the Loss Reserve Ratios</t>
  </si>
  <si>
    <t>2020 Allocation of AOE Reserves to California</t>
  </si>
  <si>
    <t>2021 Allocation of AOE Reserves to California</t>
  </si>
  <si>
    <t>2021 California Loss Reserve Ratio</t>
  </si>
  <si>
    <t>2021 vs 2020</t>
  </si>
  <si>
    <t>The Loss Reserve Ratio for Earthquake = 1.00.</t>
  </si>
  <si>
    <t>2021 SUMMARY OF BY-LINE UNEARNED PREMIUM RESERVE RATIO</t>
  </si>
  <si>
    <t>Two-Year Average Unearned Premium to Earned Premium</t>
  </si>
  <si>
    <t>2021 CA Direct</t>
  </si>
  <si>
    <t>2021 CA UEP</t>
  </si>
  <si>
    <t>2020 CA UEP</t>
  </si>
  <si>
    <t>2-Year Average</t>
  </si>
  <si>
    <t>UEP RSV</t>
  </si>
  <si>
    <t>Line #</t>
  </si>
  <si>
    <t>Earned Premium</t>
  </si>
  <si>
    <t>Reserves</t>
  </si>
  <si>
    <t>calculated</t>
  </si>
  <si>
    <t>display</t>
  </si>
  <si>
    <t>02.2</t>
  </si>
  <si>
    <t>02.3</t>
  </si>
  <si>
    <t>from AM Best's - Total US PC Industry</t>
  </si>
  <si>
    <t>2021 EP</t>
  </si>
  <si>
    <t>2021 UEP</t>
  </si>
  <si>
    <t>2020 UEP</t>
  </si>
  <si>
    <t xml:space="preserve">  MED PROF LIAB (OCC)</t>
  </si>
  <si>
    <t xml:space="preserve">  MED PROF LIAB (CM)</t>
  </si>
  <si>
    <t>MEDICARE T18</t>
  </si>
  <si>
    <t>WORKERS' COMP</t>
  </si>
  <si>
    <t xml:space="preserve">  OTHER LIAB (OCC)</t>
  </si>
  <si>
    <t xml:space="preserve">  OTHER LIAB (CM)</t>
  </si>
  <si>
    <t>EXCESS WC</t>
  </si>
  <si>
    <t xml:space="preserve">  PROD LIAB (OCC)</t>
  </si>
  <si>
    <t xml:space="preserve">  PROD LIAB (CM)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</si>
  <si>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</si>
  <si>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</si>
  <si>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</si>
  <si>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</si>
  <si>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</si>
  <si>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</si>
  <si>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INT'L</t>
  </si>
  <si>
    <t>TOTALS</t>
  </si>
  <si>
    <t>TOTAL PROP 103</t>
  </si>
  <si>
    <t>2021 vs 2020 UNEARNED PREMIUM RESERVE RATIO BY LINE</t>
  </si>
  <si>
    <t>2020 UEP RSV</t>
  </si>
  <si>
    <t>2021 UEP RSV</t>
  </si>
  <si>
    <t>Comparison of
 2021 vs 2020</t>
  </si>
  <si>
    <t>[ 1 ]</t>
  </si>
  <si>
    <t>[ 2 ]</t>
  </si>
  <si>
    <t>[ 3 ] = [ 2 ] - [ 1 ]</t>
  </si>
  <si>
    <t>CML A NO-FLT</t>
  </si>
  <si>
    <t>2021 SUMMARY BY-LINE</t>
  </si>
  <si>
    <t>Unearned Premium Reserve Ratio and Loss Reserve Ratio</t>
  </si>
  <si>
    <t>Loss Reserve</t>
  </si>
  <si>
    <t>Reserve Ratio</t>
  </si>
  <si>
    <t xml:space="preserve">  CMP (N-LIAB)</t>
  </si>
  <si>
    <t xml:space="preserve">  CMP (LIAB)</t>
  </si>
  <si>
    <t>*            The Loss Reserve Ratio for Earthquake = 1.00.</t>
  </si>
  <si>
    <t>**          The Loss Reserve Ratio for Burglary and Theft is the dollar-weighted average of the Loss Reserve Ratios</t>
  </si>
  <si>
    <t xml:space="preserve">              for Fire, Allied Lines and Inland Marine.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</si>
</sst>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0.0000_);[Red]\(0.0000\)"/>
    <numFmt numFmtId="214" formatCode="#,##0;\-#,##0"/>
    <numFmt numFmtId="215" formatCode="0.00000000"/>
    <numFmt numFmtId="216" formatCode="0.0000000"/>
    <numFmt numFmtId="217" formatCode="0.000000"/>
    <numFmt numFmtId="218" formatCode="0.00000"/>
    <numFmt numFmtId="219" formatCode="*.\ #,##0_);*.\ \(#,##0\);*.#;@\ *."/>
    <numFmt numFmtId="220" formatCode="000000"/>
    <numFmt numFmtId="221" formatCode="@*."/>
    <numFmt numFmtId="222" formatCode="#,###;\-#,###;0"/>
    <numFmt numFmtId="223" formatCode="#,##0.0;\-#,##0.0;\-"/>
    <numFmt numFmtId="224" formatCode="#,##0.00;\-#,##0.00;\-"/>
  </numFmts>
  <fonts count="9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Arial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5" fillId="0" borderId="0">
      <alignment/>
      <protection locked="0"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55" fillId="0" borderId="0">
      <alignment vertical="top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146" applyFont="1" applyFill="1" applyBorder="1" applyAlignment="1">
      <alignment horizontal="center"/>
      <protection/>
    </xf>
    <xf numFmtId="0" fontId="2" fillId="0" borderId="0" xfId="146">
      <alignment/>
      <protection/>
    </xf>
    <xf numFmtId="0" fontId="2" fillId="0" borderId="7" xfId="146" applyFont="1" applyFill="1" applyBorder="1" applyAlignment="1">
      <alignment wrapText="1"/>
      <protection/>
    </xf>
    <xf numFmtId="0" fontId="2" fillId="0" borderId="7" xfId="146" applyFont="1" applyFill="1" applyBorder="1" applyAlignment="1">
      <alignment horizontal="right" wrapText="1"/>
      <protection/>
    </xf>
    <xf numFmtId="165" fontId="2" fillId="24" borderId="10" xfId="81" applyNumberFormat="1" applyFont="1" applyFill="1" applyBorder="1" applyAlignment="1">
      <alignment horizontal="center"/>
    </xf>
    <xf numFmtId="165" fontId="2" fillId="0" borderId="7" xfId="81" applyNumberFormat="1" applyFont="1" applyFill="1" applyBorder="1" applyAlignment="1">
      <alignment horizontal="right" wrapText="1"/>
    </xf>
    <xf numFmtId="165" fontId="2" fillId="0" borderId="0" xfId="81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81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152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81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81" applyNumberFormat="1" applyFont="1" applyBorder="1" applyAlignment="1">
      <alignment/>
    </xf>
    <xf numFmtId="3" fontId="12" fillId="0" borderId="21" xfId="94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81" applyNumberFormat="1" applyFont="1" applyBorder="1" applyAlignment="1">
      <alignment/>
    </xf>
    <xf numFmtId="3" fontId="12" fillId="0" borderId="15" xfId="94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81" applyNumberFormat="1" applyFont="1" applyFill="1" applyBorder="1" applyAlignment="1">
      <alignment horizontal="right" wrapText="1"/>
    </xf>
    <xf numFmtId="3" fontId="12" fillId="0" borderId="22" xfId="81" applyNumberFormat="1" applyFont="1" applyBorder="1" applyAlignment="1">
      <alignment/>
    </xf>
    <xf numFmtId="3" fontId="12" fillId="0" borderId="22" xfId="94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81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152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9" fontId="10" fillId="0" borderId="0" xfId="152" applyFont="1" applyBorder="1" applyAlignment="1">
      <alignment horizontal="center" wrapText="1"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3" xfId="0" applyNumberFormat="1" applyFont="1" applyBorder="1" applyAlignment="1">
      <alignment horizontal="center" vertical="center"/>
    </xf>
    <xf numFmtId="204" fontId="22" fillId="0" borderId="34" xfId="0" applyNumberFormat="1" applyFont="1" applyBorder="1" applyAlignment="1">
      <alignment horizontal="center" vertical="center"/>
    </xf>
    <xf numFmtId="0" fontId="22" fillId="0" borderId="35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81" applyNumberFormat="1" applyFont="1" applyAlignment="1" quotePrefix="1">
      <alignment/>
    </xf>
    <xf numFmtId="10" fontId="18" fillId="0" borderId="0" xfId="152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81" applyNumberFormat="1" applyFont="1" applyFill="1" applyAlignment="1">
      <alignment/>
    </xf>
    <xf numFmtId="165" fontId="18" fillId="0" borderId="0" xfId="81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81" applyNumberFormat="1" applyFont="1" applyAlignment="1">
      <alignment/>
    </xf>
    <xf numFmtId="165" fontId="24" fillId="0" borderId="0" xfId="81" applyNumberFormat="1" applyFont="1" applyFill="1" applyBorder="1" applyAlignment="1">
      <alignment horizontal="right" wrapText="1"/>
    </xf>
    <xf numFmtId="165" fontId="18" fillId="0" borderId="0" xfId="81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81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152" applyNumberFormat="1" applyFont="1" applyAlignment="1">
      <alignment/>
    </xf>
    <xf numFmtId="165" fontId="25" fillId="0" borderId="0" xfId="81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167" fontId="25" fillId="0" borderId="0" xfId="0" applyNumberFormat="1" applyFont="1" applyAlignment="1">
      <alignment horizontal="left"/>
    </xf>
    <xf numFmtId="39" fontId="9" fillId="0" borderId="0" xfId="81" applyNumberFormat="1" applyFont="1" applyFill="1" applyBorder="1" applyAlignment="1">
      <alignment horizontal="center"/>
    </xf>
    <xf numFmtId="165" fontId="18" fillId="0" borderId="11" xfId="81" applyNumberFormat="1" applyFont="1" applyBorder="1" applyAlignment="1" quotePrefix="1">
      <alignment/>
    </xf>
    <xf numFmtId="165" fontId="9" fillId="0" borderId="36" xfId="0" applyNumberFormat="1" applyFont="1" applyBorder="1" applyAlignment="1">
      <alignment horizontal="center" vertical="center"/>
    </xf>
    <xf numFmtId="165" fontId="9" fillId="0" borderId="36" xfId="81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81" applyNumberFormat="1" applyFont="1" applyFill="1" applyBorder="1" applyAlignment="1">
      <alignment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81" applyNumberFormat="1" applyFont="1" applyFill="1" applyBorder="1" applyAlignment="1">
      <alignment/>
    </xf>
    <xf numFmtId="165" fontId="9" fillId="0" borderId="34" xfId="0" applyNumberFormat="1" applyFont="1" applyBorder="1" applyAlignment="1">
      <alignment horizontal="center" vertical="center"/>
    </xf>
    <xf numFmtId="165" fontId="9" fillId="0" borderId="34" xfId="81" applyNumberFormat="1" applyFont="1" applyFill="1" applyBorder="1" applyAlignment="1">
      <alignment/>
    </xf>
    <xf numFmtId="39" fontId="9" fillId="0" borderId="34" xfId="81" applyNumberFormat="1" applyFont="1" applyFill="1" applyBorder="1" applyAlignment="1">
      <alignment horizontal="center"/>
    </xf>
    <xf numFmtId="165" fontId="49" fillId="0" borderId="23" xfId="0" applyNumberFormat="1" applyFont="1" applyBorder="1" applyAlignment="1">
      <alignment horizontal="center"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81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81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205" fontId="9" fillId="0" borderId="39" xfId="0" applyNumberFormat="1" applyFont="1" applyBorder="1" applyAlignment="1">
      <alignment horizontal="left" vertical="center"/>
    </xf>
    <xf numFmtId="205" fontId="9" fillId="0" borderId="40" xfId="0" applyNumberFormat="1" applyFont="1" applyBorder="1" applyAlignment="1">
      <alignment horizontal="left" vertical="center"/>
    </xf>
    <xf numFmtId="0" fontId="50" fillId="0" borderId="36" xfId="0" applyFont="1" applyFill="1" applyBorder="1" applyAlignment="1">
      <alignment wrapText="1"/>
    </xf>
    <xf numFmtId="205" fontId="9" fillId="0" borderId="41" xfId="0" applyNumberFormat="1" applyFont="1" applyFill="1" applyBorder="1" applyAlignment="1">
      <alignment horizontal="left" vertical="center"/>
    </xf>
    <xf numFmtId="205" fontId="9" fillId="0" borderId="42" xfId="0" applyNumberFormat="1" applyFont="1" applyFill="1" applyBorder="1" applyAlignment="1">
      <alignment horizontal="left" vertical="center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left" wrapText="1"/>
    </xf>
    <xf numFmtId="205" fontId="9" fillId="0" borderId="43" xfId="0" applyNumberFormat="1" applyFont="1" applyBorder="1" applyAlignment="1">
      <alignment horizontal="left" vertical="center"/>
    </xf>
    <xf numFmtId="205" fontId="9" fillId="0" borderId="44" xfId="0" applyNumberFormat="1" applyFont="1" applyBorder="1" applyAlignment="1">
      <alignment horizontal="left" vertical="center"/>
    </xf>
    <xf numFmtId="0" fontId="50" fillId="0" borderId="38" xfId="0" applyFont="1" applyFill="1" applyBorder="1" applyAlignment="1">
      <alignment wrapText="1"/>
    </xf>
    <xf numFmtId="49" fontId="51" fillId="0" borderId="34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wrapText="1"/>
    </xf>
    <xf numFmtId="0" fontId="51" fillId="0" borderId="30" xfId="0" applyFont="1" applyBorder="1" applyAlignment="1">
      <alignment/>
    </xf>
    <xf numFmtId="0" fontId="5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0" fontId="10" fillId="0" borderId="13" xfId="152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1" fillId="0" borderId="0" xfId="81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0" fontId="51" fillId="0" borderId="19" xfId="152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152" applyNumberFormat="1" applyFont="1" applyBorder="1" applyAlignment="1">
      <alignment horizontal="center"/>
    </xf>
    <xf numFmtId="165" fontId="10" fillId="0" borderId="0" xfId="81" applyNumberFormat="1" applyFont="1" applyBorder="1" applyAlignment="1">
      <alignment horizontal="center"/>
    </xf>
    <xf numFmtId="0" fontId="51" fillId="0" borderId="19" xfId="0" applyFont="1" applyBorder="1" applyAlignment="1">
      <alignment/>
    </xf>
    <xf numFmtId="165" fontId="8" fillId="0" borderId="0" xfId="8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152" applyNumberFormat="1" applyFont="1" applyBorder="1" applyAlignment="1">
      <alignment horizontal="center" wrapText="1"/>
    </xf>
    <xf numFmtId="165" fontId="10" fillId="0" borderId="0" xfId="81" applyNumberFormat="1" applyFont="1" applyBorder="1" applyAlignment="1">
      <alignment horizontal="center" wrapText="1"/>
    </xf>
    <xf numFmtId="9" fontId="10" fillId="0" borderId="19" xfId="152" applyFont="1" applyBorder="1" applyAlignment="1">
      <alignment horizontal="center"/>
    </xf>
    <xf numFmtId="0" fontId="10" fillId="0" borderId="32" xfId="0" applyFont="1" applyBorder="1" applyAlignment="1">
      <alignment/>
    </xf>
    <xf numFmtId="10" fontId="51" fillId="0" borderId="14" xfId="152" applyNumberFormat="1" applyFont="1" applyBorder="1" applyAlignment="1">
      <alignment horizontal="center" wrapText="1"/>
    </xf>
    <xf numFmtId="9" fontId="10" fillId="0" borderId="14" xfId="152" applyFont="1" applyBorder="1" applyAlignment="1">
      <alignment horizontal="center"/>
    </xf>
    <xf numFmtId="10" fontId="10" fillId="0" borderId="11" xfId="152" applyNumberFormat="1" applyFont="1" applyBorder="1" applyAlignment="1">
      <alignment horizontal="center"/>
    </xf>
    <xf numFmtId="10" fontId="51" fillId="0" borderId="0" xfId="152" applyNumberFormat="1" applyFont="1" applyBorder="1" applyAlignment="1">
      <alignment horizontal="center"/>
    </xf>
    <xf numFmtId="10" fontId="10" fillId="0" borderId="0" xfId="152" applyNumberFormat="1" applyFont="1" applyBorder="1" applyAlignment="1">
      <alignment horizontal="center"/>
    </xf>
    <xf numFmtId="10" fontId="8" fillId="0" borderId="0" xfId="152" applyNumberFormat="1" applyFont="1" applyBorder="1" applyAlignment="1">
      <alignment horizontal="center" wrapText="1"/>
    </xf>
    <xf numFmtId="39" fontId="9" fillId="0" borderId="45" xfId="81" applyNumberFormat="1" applyFont="1" applyFill="1" applyBorder="1" applyAlignment="1">
      <alignment horizontal="center"/>
    </xf>
    <xf numFmtId="39" fontId="9" fillId="0" borderId="17" xfId="81" applyNumberFormat="1" applyFont="1" applyFill="1" applyBorder="1" applyAlignment="1">
      <alignment horizontal="center"/>
    </xf>
    <xf numFmtId="39" fontId="9" fillId="0" borderId="46" xfId="81" applyNumberFormat="1" applyFont="1" applyFill="1" applyBorder="1" applyAlignment="1">
      <alignment horizontal="center"/>
    </xf>
    <xf numFmtId="49" fontId="52" fillId="0" borderId="47" xfId="0" applyNumberFormat="1" applyFont="1" applyBorder="1" applyAlignment="1">
      <alignment horizontal="center" vertical="center"/>
    </xf>
    <xf numFmtId="49" fontId="52" fillId="0" borderId="35" xfId="0" applyNumberFormat="1" applyFont="1" applyBorder="1" applyAlignment="1">
      <alignment horizontal="center" vertical="center"/>
    </xf>
    <xf numFmtId="0" fontId="52" fillId="0" borderId="35" xfId="0" applyFont="1" applyFill="1" applyBorder="1" applyAlignment="1">
      <alignment vertical="center" wrapText="1"/>
    </xf>
    <xf numFmtId="165" fontId="49" fillId="0" borderId="23" xfId="81" applyNumberFormat="1" applyFont="1" applyFill="1" applyBorder="1" applyAlignment="1">
      <alignment vertical="center"/>
    </xf>
    <xf numFmtId="39" fontId="49" fillId="0" borderId="48" xfId="81" applyNumberFormat="1" applyFont="1" applyFill="1" applyBorder="1" applyAlignment="1">
      <alignment horizontal="center" vertical="center"/>
    </xf>
    <xf numFmtId="39" fontId="49" fillId="0" borderId="49" xfId="81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206" fontId="9" fillId="0" borderId="15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horizontal="right" vertical="center"/>
    </xf>
    <xf numFmtId="206" fontId="9" fillId="0" borderId="15" xfId="81" applyNumberFormat="1" applyFont="1" applyFill="1" applyBorder="1" applyAlignment="1">
      <alignment horizontal="center" vertical="center"/>
    </xf>
    <xf numFmtId="206" fontId="9" fillId="0" borderId="15" xfId="0" applyNumberFormat="1" applyFont="1" applyFill="1" applyBorder="1" applyAlignment="1">
      <alignment horizontal="right" vertical="center"/>
    </xf>
    <xf numFmtId="43" fontId="9" fillId="0" borderId="50" xfId="81" applyNumberFormat="1" applyFont="1" applyFill="1" applyBorder="1" applyAlignment="1">
      <alignment horizontal="center" vertical="center"/>
    </xf>
    <xf numFmtId="43" fontId="9" fillId="0" borderId="50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vertical="center"/>
    </xf>
    <xf numFmtId="43" fontId="9" fillId="0" borderId="50" xfId="0" applyNumberFormat="1" applyFont="1" applyFill="1" applyBorder="1" applyAlignment="1">
      <alignment vertical="center"/>
    </xf>
    <xf numFmtId="206" fontId="9" fillId="0" borderId="15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>
      <alignment vertical="center"/>
    </xf>
    <xf numFmtId="205" fontId="9" fillId="0" borderId="51" xfId="0" applyNumberFormat="1" applyFont="1" applyBorder="1" applyAlignment="1">
      <alignment horizontal="left" vertical="center"/>
    </xf>
    <xf numFmtId="205" fontId="9" fillId="0" borderId="52" xfId="0" applyNumberFormat="1" applyFont="1" applyBorder="1" applyAlignment="1">
      <alignment horizontal="left" vertical="center"/>
    </xf>
    <xf numFmtId="0" fontId="54" fillId="0" borderId="36" xfId="0" applyFont="1" applyFill="1" applyBorder="1" applyAlignment="1">
      <alignment vertical="center" wrapText="1"/>
    </xf>
    <xf numFmtId="205" fontId="9" fillId="0" borderId="53" xfId="0" applyNumberFormat="1" applyFont="1" applyBorder="1" applyAlignment="1">
      <alignment horizontal="left" vertical="center"/>
    </xf>
    <xf numFmtId="205" fontId="9" fillId="0" borderId="54" xfId="0" applyNumberFormat="1" applyFont="1" applyBorder="1" applyAlignment="1">
      <alignment horizontal="left" vertical="center"/>
    </xf>
    <xf numFmtId="0" fontId="54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left" vertical="center" wrapText="1"/>
    </xf>
    <xf numFmtId="1" fontId="9" fillId="0" borderId="53" xfId="0" applyNumberFormat="1" applyFont="1" applyBorder="1" applyAlignment="1">
      <alignment horizontal="left" vertical="center"/>
    </xf>
    <xf numFmtId="205" fontId="9" fillId="0" borderId="55" xfId="0" applyNumberFormat="1" applyFont="1" applyBorder="1" applyAlignment="1">
      <alignment horizontal="left" vertical="center"/>
    </xf>
    <xf numFmtId="205" fontId="9" fillId="0" borderId="56" xfId="0" applyNumberFormat="1" applyFont="1" applyBorder="1" applyAlignment="1">
      <alignment horizontal="left" vertical="center"/>
    </xf>
    <xf numFmtId="0" fontId="54" fillId="0" borderId="38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shrinkToFit="1"/>
    </xf>
    <xf numFmtId="3" fontId="9" fillId="0" borderId="36" xfId="0" applyNumberFormat="1" applyFont="1" applyFill="1" applyBorder="1" applyAlignment="1">
      <alignment horizontal="right"/>
    </xf>
    <xf numFmtId="206" fontId="9" fillId="0" borderId="36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right"/>
    </xf>
    <xf numFmtId="206" fontId="9" fillId="0" borderId="38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165" fontId="54" fillId="0" borderId="7" xfId="83" applyNumberFormat="1" applyFont="1" applyFill="1" applyBorder="1" applyAlignment="1">
      <alignment horizontal="right"/>
    </xf>
    <xf numFmtId="165" fontId="18" fillId="26" borderId="0" xfId="81" applyNumberFormat="1" applyFont="1" applyFill="1" applyAlignment="1">
      <alignment/>
    </xf>
    <xf numFmtId="0" fontId="1" fillId="25" borderId="29" xfId="0" applyFont="1" applyFill="1" applyBorder="1" applyAlignment="1">
      <alignment horizontal="center" wrapText="1"/>
    </xf>
    <xf numFmtId="0" fontId="5" fillId="0" borderId="0" xfId="132" applyFont="1">
      <alignment/>
      <protection/>
    </xf>
    <xf numFmtId="0" fontId="26" fillId="0" borderId="30" xfId="132" applyFont="1" applyBorder="1">
      <alignment/>
      <protection/>
    </xf>
    <xf numFmtId="0" fontId="26" fillId="0" borderId="11" xfId="132" applyFont="1" applyBorder="1" applyAlignment="1">
      <alignment/>
      <protection/>
    </xf>
    <xf numFmtId="0" fontId="27" fillId="0" borderId="11" xfId="132" applyFont="1" applyBorder="1" applyAlignment="1">
      <alignment horizontal="center"/>
      <protection/>
    </xf>
    <xf numFmtId="10" fontId="27" fillId="0" borderId="11" xfId="153" applyNumberFormat="1" applyFont="1" applyBorder="1" applyAlignment="1">
      <alignment horizontal="center"/>
    </xf>
    <xf numFmtId="10" fontId="27" fillId="0" borderId="13" xfId="153" applyNumberFormat="1" applyFont="1" applyBorder="1" applyAlignment="1">
      <alignment horizontal="center"/>
    </xf>
    <xf numFmtId="0" fontId="7" fillId="0" borderId="0" xfId="132" applyFont="1">
      <alignment/>
      <protection/>
    </xf>
    <xf numFmtId="0" fontId="27" fillId="0" borderId="31" xfId="132" applyFont="1" applyBorder="1">
      <alignment/>
      <protection/>
    </xf>
    <xf numFmtId="0" fontId="19" fillId="0" borderId="0" xfId="132" applyFont="1" applyBorder="1" applyAlignment="1">
      <alignment/>
      <protection/>
    </xf>
    <xf numFmtId="0" fontId="19" fillId="0" borderId="0" xfId="132" applyFont="1" applyBorder="1" applyAlignment="1">
      <alignment horizontal="center"/>
      <protection/>
    </xf>
    <xf numFmtId="1" fontId="19" fillId="0" borderId="0" xfId="153" applyNumberFormat="1" applyFont="1" applyBorder="1" applyAlignment="1">
      <alignment horizontal="center"/>
    </xf>
    <xf numFmtId="0" fontId="27" fillId="0" borderId="19" xfId="132" applyFont="1" applyBorder="1">
      <alignment/>
      <protection/>
    </xf>
    <xf numFmtId="0" fontId="6" fillId="0" borderId="0" xfId="132" applyFont="1">
      <alignment/>
      <protection/>
    </xf>
    <xf numFmtId="1" fontId="28" fillId="0" borderId="0" xfId="153" applyNumberFormat="1" applyFont="1" applyBorder="1" applyAlignment="1">
      <alignment horizontal="center"/>
    </xf>
    <xf numFmtId="10" fontId="28" fillId="0" borderId="19" xfId="153" applyNumberFormat="1" applyFont="1" applyBorder="1" applyAlignment="1">
      <alignment horizontal="center" wrapText="1"/>
    </xf>
    <xf numFmtId="1" fontId="56" fillId="0" borderId="0" xfId="153" applyNumberFormat="1" applyFont="1" applyBorder="1" applyAlignment="1">
      <alignment horizontal="center" wrapText="1"/>
    </xf>
    <xf numFmtId="10" fontId="28" fillId="0" borderId="19" xfId="153" applyNumberFormat="1" applyFont="1" applyBorder="1" applyAlignment="1">
      <alignment horizontal="center" vertical="center" wrapText="1"/>
    </xf>
    <xf numFmtId="0" fontId="27" fillId="0" borderId="32" xfId="132" applyFont="1" applyBorder="1">
      <alignment/>
      <protection/>
    </xf>
    <xf numFmtId="0" fontId="27" fillId="0" borderId="12" xfId="132" applyFont="1" applyBorder="1" applyAlignment="1">
      <alignment/>
      <protection/>
    </xf>
    <xf numFmtId="1" fontId="28" fillId="0" borderId="12" xfId="153" applyNumberFormat="1" applyFont="1" applyBorder="1" applyAlignment="1">
      <alignment horizontal="center"/>
    </xf>
    <xf numFmtId="1" fontId="28" fillId="0" borderId="12" xfId="153" applyNumberFormat="1" applyFont="1" applyBorder="1" applyAlignment="1">
      <alignment/>
    </xf>
    <xf numFmtId="0" fontId="28" fillId="0" borderId="14" xfId="132" applyFont="1" applyBorder="1" applyAlignment="1">
      <alignment horizontal="center"/>
      <protection/>
    </xf>
    <xf numFmtId="0" fontId="82" fillId="0" borderId="0" xfId="132" applyFont="1">
      <alignment/>
      <protection/>
    </xf>
    <xf numFmtId="0" fontId="26" fillId="0" borderId="0" xfId="132" applyFont="1">
      <alignment/>
      <protection/>
    </xf>
    <xf numFmtId="0" fontId="26" fillId="0" borderId="0" xfId="132" applyFont="1" applyAlignment="1" quotePrefix="1">
      <alignment/>
      <protection/>
    </xf>
    <xf numFmtId="10" fontId="26" fillId="0" borderId="0" xfId="153" applyNumberFormat="1" applyFont="1" applyAlignment="1" quotePrefix="1">
      <alignment horizontal="right"/>
    </xf>
    <xf numFmtId="10" fontId="26" fillId="0" borderId="0" xfId="153" applyNumberFormat="1" applyFont="1" applyAlignment="1" quotePrefix="1">
      <alignment/>
    </xf>
    <xf numFmtId="10" fontId="26" fillId="0" borderId="0" xfId="153" applyNumberFormat="1" applyFont="1" applyAlignment="1" quotePrefix="1">
      <alignment horizontal="center"/>
    </xf>
    <xf numFmtId="49" fontId="20" fillId="0" borderId="51" xfId="132" applyNumberFormat="1" applyFont="1" applyBorder="1" applyAlignment="1">
      <alignment horizontal="left"/>
      <protection/>
    </xf>
    <xf numFmtId="0" fontId="21" fillId="0" borderId="36" xfId="132" applyFont="1" applyFill="1" applyBorder="1" applyAlignment="1">
      <alignment wrapText="1"/>
      <protection/>
    </xf>
    <xf numFmtId="39" fontId="20" fillId="0" borderId="59" xfId="85" applyNumberFormat="1" applyFont="1" applyFill="1" applyBorder="1" applyAlignment="1">
      <alignment horizontal="center"/>
    </xf>
    <xf numFmtId="10" fontId="7" fillId="0" borderId="0" xfId="153" applyNumberFormat="1" applyFont="1" applyAlignment="1">
      <alignment/>
    </xf>
    <xf numFmtId="49" fontId="20" fillId="0" borderId="53" xfId="132" applyNumberFormat="1" applyFont="1" applyBorder="1" applyAlignment="1">
      <alignment horizontal="left"/>
      <protection/>
    </xf>
    <xf numFmtId="0" fontId="21" fillId="0" borderId="15" xfId="132" applyFont="1" applyFill="1" applyBorder="1" applyAlignment="1">
      <alignment wrapText="1"/>
      <protection/>
    </xf>
    <xf numFmtId="39" fontId="20" fillId="0" borderId="42" xfId="85" applyNumberFormat="1" applyFont="1" applyFill="1" applyBorder="1" applyAlignment="1">
      <alignment horizontal="left"/>
    </xf>
    <xf numFmtId="39" fontId="20" fillId="0" borderId="15" xfId="85" applyNumberFormat="1" applyFont="1" applyFill="1" applyBorder="1" applyAlignment="1">
      <alignment horizontal="center"/>
    </xf>
    <xf numFmtId="49" fontId="20" fillId="0" borderId="60" xfId="132" applyNumberFormat="1" applyFont="1" applyBorder="1" applyAlignment="1">
      <alignment horizontal="left"/>
      <protection/>
    </xf>
    <xf numFmtId="0" fontId="21" fillId="0" borderId="37" xfId="132" applyFont="1" applyFill="1" applyBorder="1" applyAlignment="1">
      <alignment wrapText="1"/>
      <protection/>
    </xf>
    <xf numFmtId="49" fontId="18" fillId="0" borderId="34" xfId="132" applyNumberFormat="1" applyFont="1" applyBorder="1" applyAlignment="1">
      <alignment horizontal="left"/>
      <protection/>
    </xf>
    <xf numFmtId="0" fontId="24" fillId="0" borderId="34" xfId="132" applyFont="1" applyFill="1" applyBorder="1" applyAlignment="1">
      <alignment wrapText="1"/>
      <protection/>
    </xf>
    <xf numFmtId="39" fontId="20" fillId="0" borderId="34" xfId="85" applyNumberFormat="1" applyFont="1" applyFill="1" applyBorder="1" applyAlignment="1">
      <alignment horizontal="center"/>
    </xf>
    <xf numFmtId="49" fontId="32" fillId="0" borderId="47" xfId="132" applyNumberFormat="1" applyFont="1" applyBorder="1" applyAlignment="1">
      <alignment horizontal="center"/>
      <protection/>
    </xf>
    <xf numFmtId="0" fontId="83" fillId="0" borderId="34" xfId="132" applyFont="1" applyFill="1" applyBorder="1" applyAlignment="1">
      <alignment wrapText="1"/>
      <protection/>
    </xf>
    <xf numFmtId="39" fontId="84" fillId="0" borderId="34" xfId="85" applyNumberFormat="1" applyFont="1" applyFill="1" applyBorder="1" applyAlignment="1">
      <alignment horizontal="center"/>
    </xf>
    <xf numFmtId="49" fontId="12" fillId="0" borderId="0" xfId="132" applyNumberFormat="1" applyFont="1" applyBorder="1" applyAlignment="1">
      <alignment horizontal="center"/>
      <protection/>
    </xf>
    <xf numFmtId="0" fontId="13" fillId="0" borderId="0" xfId="132" applyFont="1" applyFill="1" applyBorder="1" applyAlignment="1">
      <alignment wrapText="1"/>
      <protection/>
    </xf>
    <xf numFmtId="39" fontId="9" fillId="0" borderId="0" xfId="85" applyNumberFormat="1" applyFont="1" applyFill="1" applyBorder="1" applyAlignment="1">
      <alignment horizontal="center"/>
    </xf>
    <xf numFmtId="49" fontId="29" fillId="0" borderId="0" xfId="132" applyNumberFormat="1" applyFont="1" applyFill="1" applyBorder="1" applyAlignment="1">
      <alignment horizontal="left"/>
      <protection/>
    </xf>
    <xf numFmtId="167" fontId="29" fillId="0" borderId="0" xfId="132" applyNumberFormat="1" applyFont="1" applyAlignment="1">
      <alignment horizontal="left"/>
      <protection/>
    </xf>
    <xf numFmtId="0" fontId="30" fillId="0" borderId="0" xfId="132" applyFont="1">
      <alignment/>
      <protection/>
    </xf>
    <xf numFmtId="0" fontId="29" fillId="0" borderId="0" xfId="132" applyFont="1">
      <alignment/>
      <protection/>
    </xf>
    <xf numFmtId="49" fontId="31" fillId="0" borderId="0" xfId="132" applyNumberFormat="1" applyFont="1" applyFill="1" applyBorder="1">
      <alignment/>
      <protection/>
    </xf>
    <xf numFmtId="39" fontId="31" fillId="0" borderId="0" xfId="85" applyNumberFormat="1" applyFont="1" applyFill="1" applyBorder="1" applyAlignment="1">
      <alignment horizontal="center"/>
    </xf>
    <xf numFmtId="0" fontId="7" fillId="0" borderId="0" xfId="132" applyFont="1" applyAlignment="1">
      <alignment/>
      <protection/>
    </xf>
    <xf numFmtId="0" fontId="82" fillId="0" borderId="0" xfId="132" applyFont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39" fontId="9" fillId="0" borderId="13" xfId="85" applyNumberFormat="1" applyFont="1" applyFill="1" applyBorder="1" applyAlignment="1">
      <alignment horizontal="center"/>
    </xf>
    <xf numFmtId="39" fontId="51" fillId="0" borderId="61" xfId="85" applyNumberFormat="1" applyFont="1" applyFill="1" applyBorder="1" applyAlignment="1">
      <alignment horizontal="center"/>
    </xf>
    <xf numFmtId="39" fontId="51" fillId="0" borderId="19" xfId="85" applyNumberFormat="1" applyFont="1" applyFill="1" applyBorder="1" applyAlignment="1">
      <alignment horizontal="center"/>
    </xf>
    <xf numFmtId="39" fontId="51" fillId="0" borderId="61" xfId="85" applyNumberFormat="1" applyFont="1" applyFill="1" applyBorder="1" applyAlignment="1">
      <alignment horizontal="left"/>
    </xf>
    <xf numFmtId="39" fontId="51" fillId="0" borderId="14" xfId="85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39" fontId="20" fillId="0" borderId="62" xfId="85" applyNumberFormat="1" applyFont="1" applyFill="1" applyBorder="1" applyAlignment="1">
      <alignment horizontal="left"/>
    </xf>
    <xf numFmtId="39" fontId="20" fillId="0" borderId="17" xfId="85" applyNumberFormat="1" applyFont="1" applyFill="1" applyBorder="1" applyAlignment="1">
      <alignment horizontal="left"/>
    </xf>
    <xf numFmtId="49" fontId="25" fillId="0" borderId="0" xfId="132" applyNumberFormat="1" applyFont="1" applyFill="1" applyBorder="1" applyAlignment="1">
      <alignment/>
      <protection/>
    </xf>
    <xf numFmtId="165" fontId="10" fillId="0" borderId="12" xfId="81" applyNumberFormat="1" applyFont="1" applyFill="1" applyBorder="1" applyAlignment="1">
      <alignment horizontal="center" wrapText="1"/>
    </xf>
    <xf numFmtId="165" fontId="51" fillId="0" borderId="12" xfId="81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10" fontId="53" fillId="0" borderId="12" xfId="152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4" fontId="20" fillId="0" borderId="63" xfId="85" applyNumberFormat="1" applyFont="1" applyFill="1" applyBorder="1" applyAlignment="1">
      <alignment horizontal="center"/>
    </xf>
    <xf numFmtId="4" fontId="20" fillId="0" borderId="50" xfId="85" applyNumberFormat="1" applyFont="1" applyFill="1" applyBorder="1" applyAlignment="1">
      <alignment horizontal="center"/>
    </xf>
    <xf numFmtId="4" fontId="20" fillId="0" borderId="64" xfId="85" applyNumberFormat="1" applyFont="1" applyFill="1" applyBorder="1" applyAlignment="1">
      <alignment horizontal="center"/>
    </xf>
    <xf numFmtId="4" fontId="20" fillId="0" borderId="34" xfId="85" applyNumberFormat="1" applyFont="1" applyFill="1" applyBorder="1" applyAlignment="1">
      <alignment horizontal="center"/>
    </xf>
    <xf numFmtId="4" fontId="84" fillId="0" borderId="49" xfId="85" applyNumberFormat="1" applyFont="1" applyFill="1" applyBorder="1" applyAlignment="1">
      <alignment horizontal="center"/>
    </xf>
    <xf numFmtId="43" fontId="9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1" fillId="27" borderId="12" xfId="0" applyFont="1" applyFill="1" applyBorder="1" applyAlignment="1">
      <alignment horizontal="center" wrapText="1"/>
    </xf>
    <xf numFmtId="0" fontId="51" fillId="28" borderId="11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65" fontId="51" fillId="0" borderId="11" xfId="81" applyNumberFormat="1" applyFont="1" applyFill="1" applyBorder="1" applyAlignment="1">
      <alignment/>
    </xf>
    <xf numFmtId="0" fontId="51" fillId="0" borderId="1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39" fontId="8" fillId="0" borderId="17" xfId="81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132" applyFont="1" applyBorder="1" applyAlignment="1">
      <alignment horizontal="center" vertical="center"/>
      <protection/>
    </xf>
    <xf numFmtId="49" fontId="25" fillId="0" borderId="0" xfId="132" applyNumberFormat="1" applyFont="1" applyFill="1" applyBorder="1" applyAlignment="1">
      <alignment wrapText="1"/>
      <protection/>
    </xf>
    <xf numFmtId="0" fontId="11" fillId="0" borderId="12" xfId="0" applyFont="1" applyBorder="1" applyAlignment="1">
      <alignment horizontal="center" vertical="center"/>
    </xf>
    <xf numFmtId="0" fontId="62" fillId="0" borderId="0" xfId="127" applyFont="1" applyBorder="1" applyAlignment="1">
      <alignment horizontal="center"/>
      <protection/>
    </xf>
    <xf numFmtId="0" fontId="85" fillId="0" borderId="0" xfId="127" applyFont="1" applyBorder="1" applyAlignment="1">
      <alignment horizontal="center"/>
      <protection/>
    </xf>
    <xf numFmtId="0" fontId="9" fillId="0" borderId="0" xfId="127" applyFont="1">
      <alignment/>
      <protection/>
    </xf>
    <xf numFmtId="0" fontId="64" fillId="0" borderId="0" xfId="127" applyFont="1">
      <alignment/>
      <protection/>
    </xf>
    <xf numFmtId="0" fontId="65" fillId="0" borderId="0" xfId="127" applyFont="1" applyBorder="1" applyAlignment="1">
      <alignment horizontal="center" vertical="top"/>
      <protection/>
    </xf>
    <xf numFmtId="0" fontId="85" fillId="0" borderId="0" xfId="127" applyFont="1" applyBorder="1" applyAlignment="1">
      <alignment horizontal="center" vertical="top"/>
      <protection/>
    </xf>
    <xf numFmtId="0" fontId="65" fillId="0" borderId="0" xfId="127" applyFont="1" applyBorder="1" applyAlignment="1">
      <alignment horizontal="center" vertical="top"/>
      <protection/>
    </xf>
    <xf numFmtId="0" fontId="62" fillId="0" borderId="0" xfId="127" applyFont="1" applyBorder="1" applyAlignment="1">
      <alignment horizontal="center"/>
      <protection/>
    </xf>
    <xf numFmtId="42" fontId="85" fillId="0" borderId="0" xfId="127" applyNumberFormat="1" applyFont="1" applyFill="1" applyBorder="1" applyAlignment="1">
      <alignment horizontal="center"/>
      <protection/>
    </xf>
    <xf numFmtId="0" fontId="62" fillId="0" borderId="0" xfId="127" applyFont="1" applyFill="1" applyBorder="1" applyAlignment="1">
      <alignment horizontal="center"/>
      <protection/>
    </xf>
    <xf numFmtId="0" fontId="66" fillId="0" borderId="65" xfId="127" applyFont="1" applyBorder="1" applyAlignment="1">
      <alignment horizontal="center"/>
      <protection/>
    </xf>
    <xf numFmtId="0" fontId="66" fillId="0" borderId="65" xfId="127" applyFont="1" applyBorder="1">
      <alignment/>
      <protection/>
    </xf>
    <xf numFmtId="42" fontId="66" fillId="0" borderId="65" xfId="127" applyNumberFormat="1" applyFont="1" applyBorder="1" applyAlignment="1">
      <alignment horizontal="center"/>
      <protection/>
    </xf>
    <xf numFmtId="6" fontId="66" fillId="0" borderId="65" xfId="127" applyNumberFormat="1" applyFont="1" applyBorder="1" applyAlignment="1">
      <alignment horizontal="center"/>
      <protection/>
    </xf>
    <xf numFmtId="6" fontId="66" fillId="0" borderId="66" xfId="127" applyNumberFormat="1" applyFont="1" applyBorder="1" applyAlignment="1">
      <alignment horizontal="center"/>
      <protection/>
    </xf>
    <xf numFmtId="0" fontId="66" fillId="0" borderId="66" xfId="127" applyFont="1" applyBorder="1" applyAlignment="1">
      <alignment horizontal="center"/>
      <protection/>
    </xf>
    <xf numFmtId="0" fontId="86" fillId="0" borderId="0" xfId="127" applyFont="1" applyBorder="1" applyAlignment="1">
      <alignment horizontal="center"/>
      <protection/>
    </xf>
    <xf numFmtId="0" fontId="2" fillId="0" borderId="0" xfId="127">
      <alignment/>
      <protection/>
    </xf>
    <xf numFmtId="0" fontId="66" fillId="0" borderId="0" xfId="127" applyFont="1">
      <alignment/>
      <protection/>
    </xf>
    <xf numFmtId="0" fontId="66" fillId="0" borderId="67" xfId="127" applyFont="1" applyBorder="1" applyAlignment="1">
      <alignment horizontal="center" vertical="top"/>
      <protection/>
    </xf>
    <xf numFmtId="0" fontId="66" fillId="0" borderId="67" xfId="127" applyFont="1" applyBorder="1" applyAlignment="1">
      <alignment vertical="top"/>
      <protection/>
    </xf>
    <xf numFmtId="42" fontId="66" fillId="0" borderId="67" xfId="127" applyNumberFormat="1" applyFont="1" applyBorder="1" applyAlignment="1">
      <alignment horizontal="center" vertical="top"/>
      <protection/>
    </xf>
    <xf numFmtId="6" fontId="66" fillId="0" borderId="67" xfId="127" applyNumberFormat="1" applyFont="1" applyBorder="1" applyAlignment="1">
      <alignment horizontal="center" vertical="top"/>
      <protection/>
    </xf>
    <xf numFmtId="6" fontId="66" fillId="0" borderId="68" xfId="127" applyNumberFormat="1" applyFont="1" applyBorder="1" applyAlignment="1">
      <alignment horizontal="center" vertical="top"/>
      <protection/>
    </xf>
    <xf numFmtId="0" fontId="66" fillId="0" borderId="68" xfId="127" applyFont="1" applyBorder="1" applyAlignment="1">
      <alignment horizontal="center" vertical="top"/>
      <protection/>
    </xf>
    <xf numFmtId="168" fontId="87" fillId="0" borderId="0" xfId="83" applyNumberFormat="1" applyFont="1" applyAlignment="1">
      <alignment horizontal="left" vertical="top"/>
    </xf>
    <xf numFmtId="0" fontId="8" fillId="0" borderId="0" xfId="127" applyFont="1" applyAlignment="1">
      <alignment vertical="top"/>
      <protection/>
    </xf>
    <xf numFmtId="0" fontId="66" fillId="0" borderId="0" xfId="127" applyFont="1" applyAlignment="1">
      <alignment vertical="top"/>
      <protection/>
    </xf>
    <xf numFmtId="168" fontId="87" fillId="0" borderId="0" xfId="83" applyNumberFormat="1" applyFont="1" applyAlignment="1">
      <alignment horizontal="center" vertical="top"/>
    </xf>
    <xf numFmtId="0" fontId="68" fillId="0" borderId="29" xfId="145" applyFont="1" applyFill="1" applyBorder="1" applyAlignment="1">
      <alignment horizontal="center" wrapText="1"/>
      <protection/>
    </xf>
    <xf numFmtId="0" fontId="68" fillId="0" borderId="69" xfId="145" applyFont="1" applyFill="1" applyBorder="1" applyAlignment="1">
      <alignment wrapText="1"/>
      <protection/>
    </xf>
    <xf numFmtId="165" fontId="68" fillId="0" borderId="69" xfId="83" applyNumberFormat="1" applyFont="1" applyFill="1" applyBorder="1" applyAlignment="1">
      <alignment horizontal="right" wrapText="1"/>
    </xf>
    <xf numFmtId="2" fontId="11" fillId="0" borderId="69" xfId="96" applyNumberFormat="1" applyFont="1" applyBorder="1" applyAlignment="1">
      <alignment horizontal="center"/>
    </xf>
    <xf numFmtId="6" fontId="88" fillId="0" borderId="0" xfId="127" applyNumberFormat="1" applyFont="1" applyAlignment="1">
      <alignment horizontal="center"/>
      <protection/>
    </xf>
    <xf numFmtId="0" fontId="54" fillId="0" borderId="0" xfId="127" applyFont="1">
      <alignment/>
      <protection/>
    </xf>
    <xf numFmtId="0" fontId="68" fillId="0" borderId="0" xfId="127" applyFont="1">
      <alignment/>
      <protection/>
    </xf>
    <xf numFmtId="168" fontId="88" fillId="0" borderId="0" xfId="83" applyNumberFormat="1" applyFont="1" applyAlignment="1">
      <alignment horizontal="center"/>
    </xf>
    <xf numFmtId="0" fontId="68" fillId="0" borderId="69" xfId="145" applyFont="1" applyFill="1" applyBorder="1" applyAlignment="1">
      <alignment horizontal="center" wrapText="1"/>
      <protection/>
    </xf>
    <xf numFmtId="0" fontId="68" fillId="0" borderId="29" xfId="145" applyFont="1" applyFill="1" applyBorder="1" applyAlignment="1" quotePrefix="1">
      <alignment horizontal="center" wrapText="1"/>
      <protection/>
    </xf>
    <xf numFmtId="0" fontId="68" fillId="0" borderId="69" xfId="145" applyFont="1" applyFill="1" applyBorder="1" applyAlignment="1" quotePrefix="1">
      <alignment horizontal="center" wrapText="1"/>
      <protection/>
    </xf>
    <xf numFmtId="6" fontId="88" fillId="27" borderId="0" xfId="127" applyNumberFormat="1" applyFont="1" applyFill="1" applyAlignment="1">
      <alignment horizontal="center"/>
      <protection/>
    </xf>
    <xf numFmtId="0" fontId="8" fillId="0" borderId="0" xfId="127" applyFont="1" applyAlignment="1">
      <alignment horizontal="center"/>
      <protection/>
    </xf>
    <xf numFmtId="165" fontId="9" fillId="0" borderId="26" xfId="83" applyNumberFormat="1" applyFont="1" applyBorder="1" applyAlignment="1">
      <alignment/>
    </xf>
    <xf numFmtId="165" fontId="9" fillId="0" borderId="70" xfId="83" applyNumberFormat="1" applyFont="1" applyBorder="1" applyAlignment="1">
      <alignment/>
    </xf>
    <xf numFmtId="165" fontId="9" fillId="0" borderId="71" xfId="83" applyNumberFormat="1" applyFont="1" applyBorder="1" applyAlignment="1">
      <alignment/>
    </xf>
    <xf numFmtId="165" fontId="9" fillId="0" borderId="28" xfId="83" applyNumberFormat="1" applyFont="1" applyBorder="1" applyAlignment="1">
      <alignment/>
    </xf>
    <xf numFmtId="165" fontId="9" fillId="0" borderId="72" xfId="83" applyNumberFormat="1" applyFont="1" applyBorder="1" applyAlignment="1">
      <alignment/>
    </xf>
    <xf numFmtId="165" fontId="9" fillId="0" borderId="73" xfId="83" applyNumberFormat="1" applyFont="1" applyBorder="1" applyAlignment="1">
      <alignment/>
    </xf>
    <xf numFmtId="0" fontId="8" fillId="0" borderId="0" xfId="127" applyFont="1">
      <alignment/>
      <protection/>
    </xf>
    <xf numFmtId="0" fontId="51" fillId="0" borderId="0" xfId="127" applyFont="1">
      <alignment/>
      <protection/>
    </xf>
    <xf numFmtId="0" fontId="50" fillId="0" borderId="0" xfId="127" applyFont="1">
      <alignment/>
      <protection/>
    </xf>
    <xf numFmtId="0" fontId="70" fillId="0" borderId="0" xfId="127" applyFont="1" applyAlignment="1">
      <alignment horizontal="center"/>
      <protection/>
    </xf>
    <xf numFmtId="0" fontId="70" fillId="0" borderId="0" xfId="127" applyFont="1">
      <alignment/>
      <protection/>
    </xf>
    <xf numFmtId="42" fontId="70" fillId="0" borderId="0" xfId="83" applyNumberFormat="1" applyFont="1" applyAlignment="1">
      <alignment/>
    </xf>
    <xf numFmtId="165" fontId="70" fillId="0" borderId="0" xfId="83" applyNumberFormat="1" applyFont="1" applyAlignment="1">
      <alignment/>
    </xf>
    <xf numFmtId="0" fontId="89" fillId="0" borderId="0" xfId="127" applyFont="1" applyAlignment="1">
      <alignment horizontal="center"/>
      <protection/>
    </xf>
    <xf numFmtId="0" fontId="62" fillId="0" borderId="0" xfId="130" applyFont="1" applyBorder="1" applyAlignment="1">
      <alignment horizontal="center"/>
      <protection/>
    </xf>
    <xf numFmtId="0" fontId="62" fillId="0" borderId="0" xfId="130" applyFont="1" applyBorder="1" applyAlignment="1">
      <alignment horizontal="center"/>
      <protection/>
    </xf>
    <xf numFmtId="168" fontId="89" fillId="0" borderId="0" xfId="84" applyNumberFormat="1" applyFont="1" applyAlignment="1">
      <alignment horizontal="center"/>
    </xf>
    <xf numFmtId="0" fontId="64" fillId="0" borderId="0" xfId="130" applyFont="1">
      <alignment/>
      <protection/>
    </xf>
    <xf numFmtId="0" fontId="85" fillId="0" borderId="0" xfId="130" applyFont="1" applyBorder="1" applyAlignment="1">
      <alignment horizontal="center"/>
      <protection/>
    </xf>
    <xf numFmtId="0" fontId="11" fillId="0" borderId="65" xfId="130" applyFont="1" applyBorder="1" applyAlignment="1">
      <alignment horizontal="center"/>
      <protection/>
    </xf>
    <xf numFmtId="0" fontId="11" fillId="0" borderId="65" xfId="130" applyFont="1" applyBorder="1">
      <alignment/>
      <protection/>
    </xf>
    <xf numFmtId="0" fontId="11" fillId="0" borderId="66" xfId="130" applyFont="1" applyBorder="1" applyAlignment="1">
      <alignment horizontal="center"/>
      <protection/>
    </xf>
    <xf numFmtId="0" fontId="11" fillId="0" borderId="65" xfId="130" applyFont="1" applyBorder="1" applyAlignment="1">
      <alignment horizontal="center" wrapText="1"/>
      <protection/>
    </xf>
    <xf numFmtId="0" fontId="11" fillId="0" borderId="0" xfId="130" applyFont="1" applyBorder="1" applyAlignment="1">
      <alignment horizontal="center" wrapText="1"/>
      <protection/>
    </xf>
    <xf numFmtId="168" fontId="86" fillId="0" borderId="0" xfId="84" applyNumberFormat="1" applyFont="1" applyAlignment="1">
      <alignment horizontal="center"/>
    </xf>
    <xf numFmtId="0" fontId="66" fillId="0" borderId="0" xfId="130" applyFont="1">
      <alignment/>
      <protection/>
    </xf>
    <xf numFmtId="0" fontId="11" fillId="0" borderId="74" xfId="130" applyFont="1" applyBorder="1" applyAlignment="1">
      <alignment horizontal="center"/>
      <protection/>
    </xf>
    <xf numFmtId="0" fontId="11" fillId="0" borderId="74" xfId="130" applyFont="1" applyBorder="1">
      <alignment/>
      <protection/>
    </xf>
    <xf numFmtId="0" fontId="11" fillId="0" borderId="75" xfId="130" applyFont="1" applyBorder="1" applyAlignment="1">
      <alignment horizontal="center"/>
      <protection/>
    </xf>
    <xf numFmtId="0" fontId="68" fillId="0" borderId="74" xfId="130" applyFont="1" applyBorder="1" applyAlignment="1">
      <alignment horizontal="center" wrapText="1"/>
      <protection/>
    </xf>
    <xf numFmtId="0" fontId="68" fillId="0" borderId="0" xfId="130" applyFont="1" applyBorder="1" applyAlignment="1">
      <alignment horizontal="center" wrapText="1"/>
      <protection/>
    </xf>
    <xf numFmtId="0" fontId="66" fillId="0" borderId="67" xfId="130" applyFont="1" applyBorder="1" applyAlignment="1">
      <alignment horizontal="center" vertical="top"/>
      <protection/>
    </xf>
    <xf numFmtId="0" fontId="66" fillId="0" borderId="67" xfId="130" applyFont="1" applyBorder="1" applyAlignment="1">
      <alignment vertical="top"/>
      <protection/>
    </xf>
    <xf numFmtId="0" fontId="8" fillId="0" borderId="68" xfId="130" applyFont="1" applyBorder="1" applyAlignment="1">
      <alignment horizontal="center" vertical="top"/>
      <protection/>
    </xf>
    <xf numFmtId="0" fontId="72" fillId="0" borderId="67" xfId="130" applyFont="1" applyBorder="1" applyAlignment="1">
      <alignment horizontal="center" vertical="top" wrapText="1"/>
      <protection/>
    </xf>
    <xf numFmtId="0" fontId="72" fillId="0" borderId="0" xfId="130" applyFont="1" applyBorder="1" applyAlignment="1">
      <alignment horizontal="center" vertical="top" wrapText="1"/>
      <protection/>
    </xf>
    <xf numFmtId="168" fontId="87" fillId="0" borderId="0" xfId="84" applyNumberFormat="1" applyFont="1" applyAlignment="1">
      <alignment horizontal="center" vertical="top"/>
    </xf>
    <xf numFmtId="0" fontId="66" fillId="0" borderId="0" xfId="130" applyFont="1" applyAlignment="1">
      <alignment vertical="top"/>
      <protection/>
    </xf>
    <xf numFmtId="0" fontId="82" fillId="0" borderId="0" xfId="130" applyFont="1">
      <alignment/>
      <protection/>
    </xf>
    <xf numFmtId="0" fontId="54" fillId="0" borderId="29" xfId="145" applyFont="1" applyFill="1" applyBorder="1" applyAlignment="1">
      <alignment horizontal="center" wrapText="1"/>
      <protection/>
    </xf>
    <xf numFmtId="0" fontId="54" fillId="0" borderId="69" xfId="145" applyFont="1" applyFill="1" applyBorder="1" applyAlignment="1">
      <alignment wrapText="1"/>
      <protection/>
    </xf>
    <xf numFmtId="2" fontId="9" fillId="0" borderId="69" xfId="96" applyNumberFormat="1" applyFont="1" applyBorder="1" applyAlignment="1">
      <alignment horizontal="center"/>
    </xf>
    <xf numFmtId="174" fontId="8" fillId="0" borderId="69" xfId="96" applyNumberFormat="1" applyFont="1" applyBorder="1" applyAlignment="1">
      <alignment horizontal="center"/>
    </xf>
    <xf numFmtId="174" fontId="11" fillId="0" borderId="0" xfId="96" applyNumberFormat="1" applyFont="1" applyBorder="1" applyAlignment="1">
      <alignment horizontal="center"/>
    </xf>
    <xf numFmtId="168" fontId="88" fillId="0" borderId="0" xfId="84" applyNumberFormat="1" applyFont="1" applyAlignment="1">
      <alignment horizontal="center"/>
    </xf>
    <xf numFmtId="0" fontId="68" fillId="0" borderId="0" xfId="130" applyFont="1">
      <alignment/>
      <protection/>
    </xf>
    <xf numFmtId="10" fontId="68" fillId="0" borderId="0" xfId="157" applyNumberFormat="1" applyFont="1" applyAlignment="1">
      <alignment/>
    </xf>
    <xf numFmtId="0" fontId="54" fillId="0" borderId="69" xfId="145" applyFont="1" applyFill="1" applyBorder="1" applyAlignment="1">
      <alignment horizontal="center" wrapText="1"/>
      <protection/>
    </xf>
    <xf numFmtId="10" fontId="68" fillId="29" borderId="0" xfId="157" applyNumberFormat="1" applyFont="1" applyFill="1" applyAlignment="1">
      <alignment/>
    </xf>
    <xf numFmtId="0" fontId="54" fillId="0" borderId="29" xfId="145" applyFont="1" applyFill="1" applyBorder="1" applyAlignment="1" quotePrefix="1">
      <alignment horizontal="center" wrapText="1"/>
      <protection/>
    </xf>
    <xf numFmtId="0" fontId="54" fillId="0" borderId="69" xfId="145" applyFont="1" applyFill="1" applyBorder="1" applyAlignment="1" quotePrefix="1">
      <alignment horizontal="center" wrapText="1"/>
      <protection/>
    </xf>
    <xf numFmtId="2" fontId="14" fillId="0" borderId="69" xfId="96" applyNumberFormat="1" applyFont="1" applyBorder="1" applyAlignment="1">
      <alignment horizontal="center"/>
    </xf>
    <xf numFmtId="174" fontId="11" fillId="0" borderId="69" xfId="96" applyNumberFormat="1" applyFont="1" applyBorder="1" applyAlignment="1">
      <alignment horizontal="center"/>
    </xf>
    <xf numFmtId="0" fontId="70" fillId="0" borderId="0" xfId="130" applyFont="1" applyAlignment="1">
      <alignment horizontal="center"/>
      <protection/>
    </xf>
    <xf numFmtId="0" fontId="70" fillId="0" borderId="0" xfId="130" applyFont="1">
      <alignment/>
      <protection/>
    </xf>
    <xf numFmtId="0" fontId="2" fillId="0" borderId="0" xfId="130">
      <alignment/>
      <protection/>
    </xf>
    <xf numFmtId="165" fontId="70" fillId="0" borderId="0" xfId="84" applyNumberFormat="1" applyFont="1" applyAlignment="1">
      <alignment/>
    </xf>
    <xf numFmtId="190" fontId="2" fillId="0" borderId="0" xfId="130" applyNumberFormat="1">
      <alignment/>
      <protection/>
    </xf>
    <xf numFmtId="0" fontId="73" fillId="0" borderId="0" xfId="144" applyFont="1" applyBorder="1" applyAlignment="1">
      <alignment horizontal="center"/>
      <protection/>
    </xf>
    <xf numFmtId="0" fontId="9" fillId="0" borderId="0" xfId="143" applyFont="1">
      <alignment/>
      <protection/>
    </xf>
    <xf numFmtId="0" fontId="74" fillId="0" borderId="0" xfId="144" applyFont="1">
      <alignment/>
      <protection/>
    </xf>
    <xf numFmtId="0" fontId="75" fillId="0" borderId="0" xfId="144" applyFont="1" applyBorder="1" applyAlignment="1">
      <alignment horizontal="center" vertical="center"/>
      <protection/>
    </xf>
    <xf numFmtId="0" fontId="75" fillId="0" borderId="0" xfId="144" applyFont="1" applyBorder="1" applyAlignment="1">
      <alignment horizontal="center" vertical="center"/>
      <protection/>
    </xf>
    <xf numFmtId="0" fontId="65" fillId="0" borderId="0" xfId="144" applyFont="1" applyBorder="1" applyAlignment="1">
      <alignment horizontal="center" vertical="top"/>
      <protection/>
    </xf>
    <xf numFmtId="0" fontId="64" fillId="0" borderId="0" xfId="144" applyFont="1">
      <alignment/>
      <protection/>
    </xf>
    <xf numFmtId="0" fontId="66" fillId="0" borderId="65" xfId="144" applyFont="1" applyBorder="1" applyAlignment="1">
      <alignment horizontal="center" vertical="center"/>
      <protection/>
    </xf>
    <xf numFmtId="0" fontId="66" fillId="0" borderId="65" xfId="144" applyFont="1" applyBorder="1" applyAlignment="1">
      <alignment vertical="center"/>
      <protection/>
    </xf>
    <xf numFmtId="0" fontId="66" fillId="0" borderId="66" xfId="144" applyFont="1" applyBorder="1" applyAlignment="1">
      <alignment horizontal="center" vertical="center"/>
      <protection/>
    </xf>
    <xf numFmtId="0" fontId="66" fillId="0" borderId="0" xfId="144" applyFont="1">
      <alignment/>
      <protection/>
    </xf>
    <xf numFmtId="0" fontId="66" fillId="0" borderId="67" xfId="144" applyFont="1" applyBorder="1" applyAlignment="1">
      <alignment horizontal="center" vertical="center"/>
      <protection/>
    </xf>
    <xf numFmtId="0" fontId="66" fillId="0" borderId="67" xfId="144" applyFont="1" applyBorder="1" applyAlignment="1">
      <alignment vertical="center"/>
      <protection/>
    </xf>
    <xf numFmtId="0" fontId="66" fillId="0" borderId="68" xfId="144" applyFont="1" applyBorder="1" applyAlignment="1">
      <alignment horizontal="center" vertical="center"/>
      <protection/>
    </xf>
    <xf numFmtId="0" fontId="66" fillId="0" borderId="0" xfId="144" applyFont="1" applyAlignment="1">
      <alignment vertical="top"/>
      <protection/>
    </xf>
    <xf numFmtId="0" fontId="13" fillId="0" borderId="29" xfId="145" applyFont="1" applyFill="1" applyBorder="1" applyAlignment="1">
      <alignment horizontal="center" wrapText="1"/>
      <protection/>
    </xf>
    <xf numFmtId="0" fontId="13" fillId="0" borderId="69" xfId="145" applyFont="1" applyFill="1" applyBorder="1" applyAlignment="1">
      <alignment wrapText="1"/>
      <protection/>
    </xf>
    <xf numFmtId="2" fontId="76" fillId="0" borderId="69" xfId="97" applyNumberFormat="1" applyFont="1" applyBorder="1" applyAlignment="1">
      <alignment horizontal="center"/>
    </xf>
    <xf numFmtId="2" fontId="76" fillId="0" borderId="76" xfId="97" applyNumberFormat="1" applyFont="1" applyBorder="1" applyAlignment="1">
      <alignment horizontal="center"/>
    </xf>
    <xf numFmtId="0" fontId="70" fillId="0" borderId="0" xfId="144" applyFont="1">
      <alignment/>
      <protection/>
    </xf>
    <xf numFmtId="0" fontId="13" fillId="0" borderId="69" xfId="145" applyFont="1" applyFill="1" applyBorder="1" applyAlignment="1">
      <alignment horizontal="center" wrapText="1"/>
      <protection/>
    </xf>
    <xf numFmtId="0" fontId="2" fillId="0" borderId="24" xfId="127" applyBorder="1">
      <alignment/>
      <protection/>
    </xf>
    <xf numFmtId="0" fontId="13" fillId="0" borderId="29" xfId="145" applyFont="1" applyFill="1" applyBorder="1" applyAlignment="1" quotePrefix="1">
      <alignment horizontal="center" wrapText="1"/>
      <protection/>
    </xf>
    <xf numFmtId="0" fontId="13" fillId="0" borderId="69" xfId="145" applyFont="1" applyFill="1" applyBorder="1" applyAlignment="1" quotePrefix="1">
      <alignment horizontal="center" wrapText="1"/>
      <protection/>
    </xf>
    <xf numFmtId="0" fontId="13" fillId="0" borderId="0" xfId="145" applyFont="1" applyFill="1" applyBorder="1" applyAlignment="1">
      <alignment horizontal="center" wrapText="1"/>
      <protection/>
    </xf>
    <xf numFmtId="0" fontId="13" fillId="0" borderId="0" xfId="145" applyFont="1" applyFill="1" applyBorder="1" applyAlignment="1">
      <alignment wrapText="1"/>
      <protection/>
    </xf>
    <xf numFmtId="2" fontId="76" fillId="0" borderId="0" xfId="97" applyNumberFormat="1" applyFont="1" applyBorder="1" applyAlignment="1">
      <alignment horizontal="center"/>
    </xf>
    <xf numFmtId="0" fontId="70" fillId="0" borderId="0" xfId="144" applyFont="1" applyAlignment="1">
      <alignment horizontal="center"/>
      <protection/>
    </xf>
    <xf numFmtId="165" fontId="70" fillId="0" borderId="0" xfId="86" applyNumberFormat="1" applyFont="1" applyAlignment="1">
      <alignment/>
    </xf>
    <xf numFmtId="167" fontId="12" fillId="0" borderId="0" xfId="144" applyNumberFormat="1" applyFont="1" applyAlignment="1">
      <alignment horizontal="left"/>
      <protection/>
    </xf>
    <xf numFmtId="0" fontId="13" fillId="0" borderId="0" xfId="144" applyFont="1">
      <alignment/>
      <protection/>
    </xf>
    <xf numFmtId="165" fontId="13" fillId="0" borderId="0" xfId="86" applyNumberFormat="1" applyFont="1" applyAlignment="1">
      <alignment/>
    </xf>
    <xf numFmtId="0" fontId="77" fillId="0" borderId="0" xfId="143" applyFont="1">
      <alignment/>
      <protection/>
    </xf>
    <xf numFmtId="0" fontId="78" fillId="0" borderId="0" xfId="144" applyFont="1">
      <alignment/>
      <protection/>
    </xf>
    <xf numFmtId="0" fontId="12" fillId="0" borderId="0" xfId="144" applyFont="1">
      <alignment/>
      <protection/>
    </xf>
  </cellXfs>
  <cellStyles count="15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3" xfId="85"/>
    <cellStyle name="Comma 3 2" xfId="86"/>
    <cellStyle name="Comma 3 3" xfId="87"/>
    <cellStyle name="Comma 4" xfId="88"/>
    <cellStyle name="Comma 4 2" xfId="89"/>
    <cellStyle name="Comma 4 3" xfId="90"/>
    <cellStyle name="Comma 5" xfId="91"/>
    <cellStyle name="Comma 6" xfId="92"/>
    <cellStyle name="Comma 7" xfId="93"/>
    <cellStyle name="Currency" xfId="94"/>
    <cellStyle name="Currency [0]" xfId="95"/>
    <cellStyle name="Currency 2" xfId="96"/>
    <cellStyle name="Currency 3" xfId="97"/>
    <cellStyle name="Currency 4" xfId="98"/>
    <cellStyle name="Currency 4 2" xfId="99"/>
    <cellStyle name="Currency 5" xfId="100"/>
    <cellStyle name="Explanatory Text" xfId="101"/>
    <cellStyle name="Explanatory Text 2" xfId="102"/>
    <cellStyle name="Followed Hyperlink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" xfId="114"/>
    <cellStyle name="Input" xfId="115"/>
    <cellStyle name="Input 2" xfId="116"/>
    <cellStyle name="Linked Cell" xfId="117"/>
    <cellStyle name="Linked Cell 2" xfId="118"/>
    <cellStyle name="Neutral" xfId="119"/>
    <cellStyle name="Neutral 2" xfId="120"/>
    <cellStyle name="Normal 10" xfId="121"/>
    <cellStyle name="Normal 11" xfId="122"/>
    <cellStyle name="Normal 12" xfId="123"/>
    <cellStyle name="Normal 13" xfId="124"/>
    <cellStyle name="Normal 14" xfId="125"/>
    <cellStyle name="Normal 15" xfId="126"/>
    <cellStyle name="Normal 16" xfId="127"/>
    <cellStyle name="Normal 2" xfId="128"/>
    <cellStyle name="Normal 2 2" xfId="129"/>
    <cellStyle name="Normal 2 2 2" xfId="130"/>
    <cellStyle name="Normal 3" xfId="131"/>
    <cellStyle name="Normal 3 2" xfId="132"/>
    <cellStyle name="Normal 4" xfId="133"/>
    <cellStyle name="Normal 4 2" xfId="134"/>
    <cellStyle name="Normal 4 2 2" xfId="135"/>
    <cellStyle name="Normal 5" xfId="136"/>
    <cellStyle name="Normal 5 2" xfId="137"/>
    <cellStyle name="Normal 5 3" xfId="138"/>
    <cellStyle name="Normal 6" xfId="139"/>
    <cellStyle name="Normal 7" xfId="140"/>
    <cellStyle name="Normal 8" xfId="141"/>
    <cellStyle name="Normal 9" xfId="142"/>
    <cellStyle name="Normal 9 2" xfId="143"/>
    <cellStyle name="Normal_ep_loss_reserves_06_rev5_16" xfId="144"/>
    <cellStyle name="Normal_Sheet1" xfId="145"/>
    <cellStyle name="Normal_Tbl_2004LossRSVratios" xfId="146"/>
    <cellStyle name="Note" xfId="147"/>
    <cellStyle name="Note 2" xfId="148"/>
    <cellStyle name="Note 3" xfId="149"/>
    <cellStyle name="Output" xfId="150"/>
    <cellStyle name="Output 2" xfId="151"/>
    <cellStyle name="Percent" xfId="152"/>
    <cellStyle name="Percent 2" xfId="153"/>
    <cellStyle name="Percent 3" xfId="154"/>
    <cellStyle name="Percent 3 2" xfId="155"/>
    <cellStyle name="Percent 4" xfId="156"/>
    <cellStyle name="Percent 5" xfId="157"/>
    <cellStyle name="Title" xfId="158"/>
    <cellStyle name="Title 2" xfId="159"/>
    <cellStyle name="Total" xfId="160"/>
    <cellStyle name="Total 2" xfId="161"/>
    <cellStyle name="Warning Text" xfId="162"/>
    <cellStyle name="Warning Text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erveRatioCY2021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uep_res"/>
      <sheetName val="uep_res_20&amp;21"/>
      <sheetName val="reserve ratio"/>
      <sheetName val="aoe_2021"/>
      <sheetName val="aoe_2020"/>
      <sheetName val="reserve ratio 21 vs 20"/>
      <sheetName val="uep_ls _res"/>
      <sheetName val="aoe_2005(alllines)"/>
      <sheetName val="Tbl_2004"/>
      <sheetName val="Tbl_2004LossRSVratios (2)"/>
      <sheetName val="Tbl_2004LossRSV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4" width="20.7109375" style="0" customWidth="1"/>
    <col min="5" max="5" width="15.281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281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28125" defaultRowHeight="12.75"/>
  <cols>
    <col min="1" max="4" width="14.00390625" style="4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28125" defaultRowHeight="12.75"/>
  <cols>
    <col min="1" max="10" width="14.00390625" style="4" customWidth="1"/>
    <col min="11" max="16384" width="9.281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SheetLayoutView="103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140625" defaultRowHeight="12.75"/>
  <cols>
    <col min="1" max="1" width="12.8515625" style="369" customWidth="1"/>
    <col min="2" max="2" width="31.57421875" style="370" customWidth="1"/>
    <col min="3" max="3" width="20.7109375" style="371" customWidth="1"/>
    <col min="4" max="4" width="18.57421875" style="372" customWidth="1"/>
    <col min="5" max="6" width="18.57421875" style="370" customWidth="1"/>
    <col min="7" max="7" width="11.7109375" style="370" customWidth="1"/>
    <col min="8" max="8" width="4.8515625" style="373" hidden="1" customWidth="1"/>
    <col min="9" max="11" width="9.140625" style="352" hidden="1" customWidth="1"/>
    <col min="12" max="12" width="4.8515625" style="370" hidden="1" customWidth="1"/>
    <col min="13" max="13" width="9.140625" style="370" hidden="1" customWidth="1"/>
    <col min="14" max="14" width="9.140625" style="370" customWidth="1"/>
    <col min="15" max="16384" width="9.140625" style="370" customWidth="1"/>
  </cols>
  <sheetData>
    <row r="1" spans="1:11" s="321" customFormat="1" ht="18" customHeight="1">
      <c r="A1" s="318" t="s">
        <v>209</v>
      </c>
      <c r="B1" s="318"/>
      <c r="C1" s="318"/>
      <c r="D1" s="318"/>
      <c r="E1" s="318"/>
      <c r="F1" s="318"/>
      <c r="G1" s="318"/>
      <c r="H1" s="319"/>
      <c r="I1" s="320"/>
      <c r="J1" s="320"/>
      <c r="K1" s="320"/>
    </row>
    <row r="2" spans="1:11" s="321" customFormat="1" ht="21.75" customHeight="1">
      <c r="A2" s="322" t="s">
        <v>210</v>
      </c>
      <c r="B2" s="322"/>
      <c r="C2" s="322"/>
      <c r="D2" s="322"/>
      <c r="E2" s="322"/>
      <c r="F2" s="322"/>
      <c r="G2" s="322"/>
      <c r="H2" s="323"/>
      <c r="I2" s="320"/>
      <c r="J2" s="320"/>
      <c r="K2" s="320"/>
    </row>
    <row r="3" spans="1:11" s="321" customFormat="1" ht="21.75" customHeight="1">
      <c r="A3" s="324"/>
      <c r="B3" s="324"/>
      <c r="C3" s="324"/>
      <c r="D3" s="324"/>
      <c r="E3" s="324"/>
      <c r="F3" s="324"/>
      <c r="G3" s="324"/>
      <c r="H3" s="323"/>
      <c r="I3" s="320"/>
      <c r="J3" s="320"/>
      <c r="K3" s="320"/>
    </row>
    <row r="4" spans="1:11" s="321" customFormat="1" ht="16.5" customHeight="1" thickBot="1">
      <c r="A4" s="325"/>
      <c r="B4" s="325"/>
      <c r="C4" s="326"/>
      <c r="D4" s="326"/>
      <c r="E4" s="327"/>
      <c r="F4" s="325"/>
      <c r="G4" s="325"/>
      <c r="H4" s="319"/>
      <c r="I4" s="320"/>
      <c r="J4" s="320"/>
      <c r="K4" s="320"/>
    </row>
    <row r="5" spans="1:11" s="336" customFormat="1" ht="15" customHeight="1">
      <c r="A5" s="328"/>
      <c r="B5" s="329"/>
      <c r="C5" s="330" t="s">
        <v>211</v>
      </c>
      <c r="D5" s="331" t="s">
        <v>212</v>
      </c>
      <c r="E5" s="331" t="s">
        <v>213</v>
      </c>
      <c r="F5" s="332" t="s">
        <v>214</v>
      </c>
      <c r="G5" s="333" t="s">
        <v>215</v>
      </c>
      <c r="H5" s="334"/>
      <c r="I5" s="335"/>
      <c r="J5" s="335"/>
      <c r="K5" s="335"/>
    </row>
    <row r="6" spans="1:13" s="345" customFormat="1" ht="15" customHeight="1" thickBot="1">
      <c r="A6" s="337" t="s">
        <v>216</v>
      </c>
      <c r="B6" s="338" t="s">
        <v>0</v>
      </c>
      <c r="C6" s="339" t="s">
        <v>217</v>
      </c>
      <c r="D6" s="340" t="s">
        <v>218</v>
      </c>
      <c r="E6" s="340" t="s">
        <v>218</v>
      </c>
      <c r="F6" s="341" t="s">
        <v>218</v>
      </c>
      <c r="G6" s="342" t="s">
        <v>15</v>
      </c>
      <c r="H6" s="343" t="s">
        <v>219</v>
      </c>
      <c r="I6" s="344"/>
      <c r="J6" s="344"/>
      <c r="K6" s="344"/>
      <c r="M6" s="346" t="s">
        <v>220</v>
      </c>
    </row>
    <row r="7" spans="1:13" s="353" customFormat="1" ht="13.5" customHeight="1">
      <c r="A7" s="347" t="s">
        <v>76</v>
      </c>
      <c r="B7" s="348" t="s">
        <v>41</v>
      </c>
      <c r="C7" s="349">
        <v>1935929274</v>
      </c>
      <c r="D7" s="349">
        <v>1087988463</v>
      </c>
      <c r="E7" s="349">
        <v>906661651</v>
      </c>
      <c r="F7" s="349">
        <f aca="true" t="shared" si="0" ref="F7:F32">(D7+E7)/2</f>
        <v>997325057</v>
      </c>
      <c r="G7" s="350">
        <f aca="true" t="shared" si="1" ref="G7:G32">F7/C7</f>
        <v>0.515166060245236</v>
      </c>
      <c r="H7" s="351"/>
      <c r="I7" s="352"/>
      <c r="J7" s="352"/>
      <c r="K7" s="352"/>
      <c r="M7" s="354" t="s">
        <v>161</v>
      </c>
    </row>
    <row r="8" spans="1:13" s="353" customFormat="1" ht="13.5" customHeight="1">
      <c r="A8" s="355" t="s">
        <v>77</v>
      </c>
      <c r="B8" s="348" t="s">
        <v>42</v>
      </c>
      <c r="C8" s="349">
        <v>1221698320</v>
      </c>
      <c r="D8" s="349">
        <v>647570523</v>
      </c>
      <c r="E8" s="349">
        <v>565401239</v>
      </c>
      <c r="F8" s="349">
        <f t="shared" si="0"/>
        <v>606485881</v>
      </c>
      <c r="G8" s="350">
        <f t="shared" si="1"/>
        <v>0.49642851354661766</v>
      </c>
      <c r="H8" s="351"/>
      <c r="I8" s="352"/>
      <c r="J8" s="352"/>
      <c r="K8" s="352"/>
      <c r="M8" s="354" t="s">
        <v>161</v>
      </c>
    </row>
    <row r="9" spans="1:13" s="353" customFormat="1" ht="13.5" customHeight="1" hidden="1">
      <c r="A9" s="355" t="s">
        <v>221</v>
      </c>
      <c r="B9" s="348" t="s">
        <v>119</v>
      </c>
      <c r="C9" s="349">
        <v>547364920</v>
      </c>
      <c r="D9" s="349">
        <v>170556250</v>
      </c>
      <c r="E9" s="349">
        <v>154280267</v>
      </c>
      <c r="F9" s="349">
        <f t="shared" si="0"/>
        <v>162418258.5</v>
      </c>
      <c r="G9" s="350">
        <f t="shared" si="1"/>
        <v>0.29672756248244775</v>
      </c>
      <c r="H9" s="351"/>
      <c r="I9" s="352"/>
      <c r="J9" s="352"/>
      <c r="K9" s="352"/>
      <c r="M9" s="354"/>
    </row>
    <row r="10" spans="1:13" s="353" customFormat="1" ht="13.5" customHeight="1" hidden="1">
      <c r="A10" s="355" t="s">
        <v>222</v>
      </c>
      <c r="B10" s="348" t="s">
        <v>120</v>
      </c>
      <c r="C10" s="349">
        <v>144386922</v>
      </c>
      <c r="D10" s="349">
        <v>78856900</v>
      </c>
      <c r="E10" s="349">
        <v>78485274</v>
      </c>
      <c r="F10" s="349">
        <f t="shared" si="0"/>
        <v>78671087</v>
      </c>
      <c r="G10" s="350">
        <f t="shared" si="1"/>
        <v>0.5448629689605822</v>
      </c>
      <c r="H10" s="351"/>
      <c r="I10" s="352"/>
      <c r="J10" s="352"/>
      <c r="K10" s="352"/>
      <c r="M10" s="354"/>
    </row>
    <row r="11" spans="1:13" s="353" customFormat="1" ht="13.5" customHeight="1">
      <c r="A11" s="355" t="s">
        <v>180</v>
      </c>
      <c r="B11" s="348" t="s">
        <v>181</v>
      </c>
      <c r="C11" s="349">
        <v>16282681</v>
      </c>
      <c r="D11" s="349">
        <v>-63326</v>
      </c>
      <c r="E11" s="349">
        <v>931317</v>
      </c>
      <c r="F11" s="349">
        <f>(D11+E11)/2</f>
        <v>433995.5</v>
      </c>
      <c r="G11" s="350">
        <f>F11/C11</f>
        <v>0.026653810880407226</v>
      </c>
      <c r="H11" s="351"/>
      <c r="I11" s="352"/>
      <c r="J11" s="352"/>
      <c r="K11" s="352"/>
      <c r="M11" s="354" t="s">
        <v>161</v>
      </c>
    </row>
    <row r="12" spans="1:13" s="353" customFormat="1" ht="13.5" customHeight="1">
      <c r="A12" s="355" t="s">
        <v>182</v>
      </c>
      <c r="B12" s="348" t="s">
        <v>183</v>
      </c>
      <c r="C12" s="349">
        <v>86234322</v>
      </c>
      <c r="D12" s="349">
        <v>48516179</v>
      </c>
      <c r="E12" s="349">
        <v>34277408</v>
      </c>
      <c r="F12" s="349">
        <f>(D12+E12)/2</f>
        <v>41396793.5</v>
      </c>
      <c r="G12" s="350">
        <f>F12/C12</f>
        <v>0.4800500837705896</v>
      </c>
      <c r="H12" s="351"/>
      <c r="I12" s="352"/>
      <c r="J12" s="352"/>
      <c r="K12" s="352"/>
      <c r="M12" s="354" t="s">
        <v>161</v>
      </c>
    </row>
    <row r="13" spans="1:13" s="353" customFormat="1" ht="13.5" customHeight="1">
      <c r="A13" s="356" t="s">
        <v>78</v>
      </c>
      <c r="B13" s="348" t="s">
        <v>43</v>
      </c>
      <c r="C13" s="349">
        <v>218228421</v>
      </c>
      <c r="D13" s="349">
        <v>105124020</v>
      </c>
      <c r="E13" s="349">
        <v>102238174</v>
      </c>
      <c r="F13" s="349">
        <f t="shared" si="0"/>
        <v>103681097</v>
      </c>
      <c r="G13" s="350">
        <f t="shared" si="1"/>
        <v>0.47510354758054174</v>
      </c>
      <c r="H13" s="351"/>
      <c r="I13" s="352"/>
      <c r="J13" s="352"/>
      <c r="K13" s="352"/>
      <c r="M13" s="354" t="s">
        <v>161</v>
      </c>
    </row>
    <row r="14" spans="1:13" s="353" customFormat="1" ht="13.5" customHeight="1">
      <c r="A14" s="357" t="s">
        <v>79</v>
      </c>
      <c r="B14" s="348" t="s">
        <v>44</v>
      </c>
      <c r="C14" s="349">
        <v>10494961768</v>
      </c>
      <c r="D14" s="349">
        <v>5812275133</v>
      </c>
      <c r="E14" s="349">
        <v>5140890537</v>
      </c>
      <c r="F14" s="349">
        <f t="shared" si="0"/>
        <v>5476582835</v>
      </c>
      <c r="G14" s="350">
        <f t="shared" si="1"/>
        <v>0.5218297080127106</v>
      </c>
      <c r="H14" s="351"/>
      <c r="I14" s="352"/>
      <c r="J14" s="352"/>
      <c r="K14" s="352"/>
      <c r="M14" s="354" t="s">
        <v>161</v>
      </c>
    </row>
    <row r="15" spans="1:13" s="353" customFormat="1" ht="13.5" customHeight="1">
      <c r="A15" s="357" t="s">
        <v>142</v>
      </c>
      <c r="B15" s="348" t="s">
        <v>141</v>
      </c>
      <c r="C15" s="349">
        <f>+C16+C17</f>
        <v>5751054375</v>
      </c>
      <c r="D15" s="349">
        <f>+D16+D17</f>
        <v>2898633991</v>
      </c>
      <c r="E15" s="349">
        <f>+E16+E17</f>
        <v>2667539151</v>
      </c>
      <c r="F15" s="349">
        <f t="shared" si="0"/>
        <v>2783086571</v>
      </c>
      <c r="G15" s="350">
        <f t="shared" si="1"/>
        <v>0.4839263184674723</v>
      </c>
      <c r="H15" s="358" t="s">
        <v>161</v>
      </c>
      <c r="I15" s="352"/>
      <c r="J15" s="352"/>
      <c r="K15" s="352"/>
      <c r="M15" s="354" t="s">
        <v>161</v>
      </c>
    </row>
    <row r="16" spans="1:13" s="353" customFormat="1" ht="13.5" customHeight="1">
      <c r="A16" s="357" t="s">
        <v>80</v>
      </c>
      <c r="B16" s="348" t="s">
        <v>45</v>
      </c>
      <c r="C16" s="349">
        <v>3649782962</v>
      </c>
      <c r="D16" s="349">
        <v>1860222844</v>
      </c>
      <c r="E16" s="349">
        <v>1680224626</v>
      </c>
      <c r="F16" s="349">
        <f t="shared" si="0"/>
        <v>1770223735</v>
      </c>
      <c r="G16" s="350">
        <f t="shared" si="1"/>
        <v>0.48502164469252623</v>
      </c>
      <c r="H16" s="351"/>
      <c r="I16" s="352"/>
      <c r="J16" s="352"/>
      <c r="K16" s="352"/>
      <c r="M16" s="354" t="s">
        <v>161</v>
      </c>
    </row>
    <row r="17" spans="1:13" s="353" customFormat="1" ht="13.5" customHeight="1">
      <c r="A17" s="357" t="s">
        <v>81</v>
      </c>
      <c r="B17" s="348" t="s">
        <v>46</v>
      </c>
      <c r="C17" s="349">
        <v>2101271413</v>
      </c>
      <c r="D17" s="349">
        <v>1038411147</v>
      </c>
      <c r="E17" s="349">
        <v>987314525</v>
      </c>
      <c r="F17" s="349">
        <f t="shared" si="0"/>
        <v>1012862836</v>
      </c>
      <c r="G17" s="350">
        <f t="shared" si="1"/>
        <v>0.48202380222454394</v>
      </c>
      <c r="H17" s="351"/>
      <c r="I17" s="352"/>
      <c r="J17" s="352"/>
      <c r="K17" s="352"/>
      <c r="M17" s="354" t="s">
        <v>161</v>
      </c>
    </row>
    <row r="18" spans="1:13" s="353" customFormat="1" ht="13.5" customHeight="1" hidden="1">
      <c r="A18" s="357" t="s">
        <v>82</v>
      </c>
      <c r="B18" s="348" t="s">
        <v>47</v>
      </c>
      <c r="C18" s="349">
        <v>562774784</v>
      </c>
      <c r="D18" s="349">
        <v>132538025</v>
      </c>
      <c r="E18" s="349">
        <v>190104024</v>
      </c>
      <c r="F18" s="349">
        <f t="shared" si="0"/>
        <v>161321024.5</v>
      </c>
      <c r="G18" s="350">
        <f t="shared" si="1"/>
        <v>0.2866529011008425</v>
      </c>
      <c r="H18" s="351"/>
      <c r="I18" s="352"/>
      <c r="J18" s="352"/>
      <c r="K18" s="352"/>
      <c r="M18" s="354"/>
    </row>
    <row r="19" spans="1:13" s="353" customFormat="1" ht="13.5" customHeight="1" hidden="1">
      <c r="A19" s="357" t="s">
        <v>83</v>
      </c>
      <c r="B19" s="348" t="s">
        <v>84</v>
      </c>
      <c r="C19" s="349">
        <v>425350500</v>
      </c>
      <c r="D19" s="349">
        <v>170652176</v>
      </c>
      <c r="E19" s="349">
        <v>161856788</v>
      </c>
      <c r="F19" s="349">
        <f t="shared" si="0"/>
        <v>166254482</v>
      </c>
      <c r="G19" s="350">
        <f t="shared" si="1"/>
        <v>0.39086466807961906</v>
      </c>
      <c r="H19" s="351"/>
      <c r="I19" s="352"/>
      <c r="J19" s="352"/>
      <c r="K19" s="352"/>
      <c r="M19" s="354"/>
    </row>
    <row r="20" spans="1:13" s="353" customFormat="1" ht="13.5" customHeight="1">
      <c r="A20" s="357" t="s">
        <v>85</v>
      </c>
      <c r="B20" s="348" t="s">
        <v>48</v>
      </c>
      <c r="C20" s="349">
        <v>3643504158</v>
      </c>
      <c r="D20" s="349">
        <v>1073142951</v>
      </c>
      <c r="E20" s="349">
        <v>921310992</v>
      </c>
      <c r="F20" s="349">
        <f t="shared" si="0"/>
        <v>997226971.5</v>
      </c>
      <c r="G20" s="350">
        <f t="shared" si="1"/>
        <v>0.27369996801304597</v>
      </c>
      <c r="H20" s="351"/>
      <c r="I20" s="320" t="s">
        <v>223</v>
      </c>
      <c r="J20" s="320"/>
      <c r="K20" s="320"/>
      <c r="M20" s="354" t="s">
        <v>161</v>
      </c>
    </row>
    <row r="21" spans="1:13" s="353" customFormat="1" ht="13.5" customHeight="1" hidden="1">
      <c r="A21" s="355">
        <v>10</v>
      </c>
      <c r="B21" s="348" t="s">
        <v>49</v>
      </c>
      <c r="C21" s="349">
        <v>64129521</v>
      </c>
      <c r="D21" s="349">
        <v>431650020</v>
      </c>
      <c r="E21" s="349">
        <v>442430329</v>
      </c>
      <c r="F21" s="349">
        <f t="shared" si="0"/>
        <v>437040174.5</v>
      </c>
      <c r="G21" s="350">
        <f t="shared" si="1"/>
        <v>6.814960843072568</v>
      </c>
      <c r="H21" s="351"/>
      <c r="I21" s="359" t="s">
        <v>224</v>
      </c>
      <c r="J21" s="359" t="s">
        <v>225</v>
      </c>
      <c r="K21" s="359" t="s">
        <v>226</v>
      </c>
      <c r="M21" s="354"/>
    </row>
    <row r="22" spans="1:13" s="353" customFormat="1" ht="13.5" customHeight="1">
      <c r="A22" s="355">
        <v>11</v>
      </c>
      <c r="B22" s="348" t="s">
        <v>158</v>
      </c>
      <c r="C22" s="349">
        <v>901630115</v>
      </c>
      <c r="D22" s="349">
        <v>471254902</v>
      </c>
      <c r="E22" s="349">
        <v>458849918</v>
      </c>
      <c r="F22" s="349">
        <f t="shared" si="0"/>
        <v>465052410</v>
      </c>
      <c r="G22" s="350">
        <f t="shared" si="1"/>
        <v>0.5157906798621074</v>
      </c>
      <c r="H22" s="351"/>
      <c r="I22" s="352"/>
      <c r="J22" s="352"/>
      <c r="K22" s="352"/>
      <c r="M22" s="354" t="s">
        <v>161</v>
      </c>
    </row>
    <row r="23" spans="1:13" s="353" customFormat="1" ht="13.5" customHeight="1">
      <c r="A23" s="355">
        <v>11.1</v>
      </c>
      <c r="B23" s="348" t="s">
        <v>227</v>
      </c>
      <c r="C23" s="349">
        <f>C22*(I23/(I23+I24))</f>
        <v>214776498.52346462</v>
      </c>
      <c r="D23" s="349">
        <f>D22*(J23/(J23+J24))</f>
        <v>142157636.4901665</v>
      </c>
      <c r="E23" s="349">
        <f>E22*(K23/(K23+K24))</f>
        <v>137353392.24317047</v>
      </c>
      <c r="F23" s="349">
        <f t="shared" si="0"/>
        <v>139755514.36666846</v>
      </c>
      <c r="G23" s="350">
        <f t="shared" si="1"/>
        <v>0.6507020801971031</v>
      </c>
      <c r="H23" s="358" t="s">
        <v>161</v>
      </c>
      <c r="I23" s="360">
        <v>2327690</v>
      </c>
      <c r="J23" s="361">
        <v>1447407</v>
      </c>
      <c r="K23" s="362">
        <v>1348698</v>
      </c>
      <c r="M23" s="354" t="s">
        <v>161</v>
      </c>
    </row>
    <row r="24" spans="1:13" s="353" customFormat="1" ht="13.5" customHeight="1">
      <c r="A24" s="355">
        <v>11.2</v>
      </c>
      <c r="B24" s="348" t="s">
        <v>228</v>
      </c>
      <c r="C24" s="349">
        <f>C22-C23</f>
        <v>686853616.4765353</v>
      </c>
      <c r="D24" s="349">
        <f>D22-D23</f>
        <v>329097265.5098335</v>
      </c>
      <c r="E24" s="349">
        <f>E22-E23</f>
        <v>321496525.7568295</v>
      </c>
      <c r="F24" s="349">
        <f t="shared" si="0"/>
        <v>325296895.63333154</v>
      </c>
      <c r="G24" s="350">
        <f t="shared" si="1"/>
        <v>0.47360440103971485</v>
      </c>
      <c r="H24" s="358" t="s">
        <v>161</v>
      </c>
      <c r="I24" s="363">
        <v>7443935</v>
      </c>
      <c r="J24" s="364">
        <v>3350771</v>
      </c>
      <c r="K24" s="365">
        <v>3156833</v>
      </c>
      <c r="M24" s="354" t="s">
        <v>161</v>
      </c>
    </row>
    <row r="25" spans="1:13" s="353" customFormat="1" ht="13.5" customHeight="1">
      <c r="A25" s="355">
        <v>12</v>
      </c>
      <c r="B25" s="348" t="s">
        <v>51</v>
      </c>
      <c r="C25" s="349">
        <v>2600791070</v>
      </c>
      <c r="D25" s="349">
        <v>1303625967</v>
      </c>
      <c r="E25" s="349">
        <v>1216624940</v>
      </c>
      <c r="F25" s="349">
        <f t="shared" si="0"/>
        <v>1260125453.5</v>
      </c>
      <c r="G25" s="350">
        <f t="shared" si="1"/>
        <v>0.48451621817511087</v>
      </c>
      <c r="H25" s="351"/>
      <c r="I25" s="352"/>
      <c r="J25" s="352"/>
      <c r="K25" s="352"/>
      <c r="M25" s="354" t="s">
        <v>161</v>
      </c>
    </row>
    <row r="26" spans="1:13" s="353" customFormat="1" ht="13.5" customHeight="1" hidden="1">
      <c r="A26" s="355">
        <v>13</v>
      </c>
      <c r="B26" s="348" t="s">
        <v>121</v>
      </c>
      <c r="C26" s="349">
        <v>435743620</v>
      </c>
      <c r="D26" s="349">
        <v>435800569</v>
      </c>
      <c r="E26" s="349">
        <v>411338419</v>
      </c>
      <c r="F26" s="349">
        <f t="shared" si="0"/>
        <v>423569494</v>
      </c>
      <c r="G26" s="350">
        <f t="shared" si="1"/>
        <v>0.9720612639147763</v>
      </c>
      <c r="H26" s="351"/>
      <c r="I26" s="352"/>
      <c r="J26" s="352"/>
      <c r="K26" s="352"/>
      <c r="M26" s="354"/>
    </row>
    <row r="27" spans="1:13" s="353" customFormat="1" ht="13.5" customHeight="1" hidden="1">
      <c r="A27" s="355">
        <v>14</v>
      </c>
      <c r="B27" s="348" t="s">
        <v>122</v>
      </c>
      <c r="C27" s="349">
        <v>22017</v>
      </c>
      <c r="D27" s="349">
        <v>7851</v>
      </c>
      <c r="E27" s="349">
        <v>16022</v>
      </c>
      <c r="F27" s="349">
        <f t="shared" si="0"/>
        <v>11936.5</v>
      </c>
      <c r="G27" s="350">
        <f t="shared" si="1"/>
        <v>0.5421492483081255</v>
      </c>
      <c r="H27" s="351"/>
      <c r="I27" s="352"/>
      <c r="J27" s="352"/>
      <c r="K27" s="352"/>
      <c r="M27" s="354"/>
    </row>
    <row r="28" spans="1:13" s="353" customFormat="1" ht="13.5" customHeight="1" hidden="1">
      <c r="A28" s="355">
        <v>15.1</v>
      </c>
      <c r="B28" s="348" t="s">
        <v>123</v>
      </c>
      <c r="C28" s="349">
        <v>43247</v>
      </c>
      <c r="D28" s="349">
        <v>5648</v>
      </c>
      <c r="E28" s="349">
        <v>5746</v>
      </c>
      <c r="F28" s="349">
        <f t="shared" si="0"/>
        <v>5697</v>
      </c>
      <c r="G28" s="350">
        <f t="shared" si="1"/>
        <v>0.13173168081022962</v>
      </c>
      <c r="H28" s="351"/>
      <c r="I28" s="352"/>
      <c r="J28" s="352"/>
      <c r="K28" s="352"/>
      <c r="M28" s="354"/>
    </row>
    <row r="29" spans="1:13" s="353" customFormat="1" ht="13.5" customHeight="1" hidden="1">
      <c r="A29" s="355">
        <v>15.2</v>
      </c>
      <c r="B29" s="348" t="s">
        <v>128</v>
      </c>
      <c r="C29" s="349">
        <v>5610</v>
      </c>
      <c r="D29" s="349">
        <v>52</v>
      </c>
      <c r="E29" s="349">
        <v>103</v>
      </c>
      <c r="F29" s="349">
        <f t="shared" si="0"/>
        <v>77.5</v>
      </c>
      <c r="G29" s="350">
        <f t="shared" si="1"/>
        <v>0.013814616755793227</v>
      </c>
      <c r="H29" s="351"/>
      <c r="I29" s="352"/>
      <c r="J29" s="352"/>
      <c r="K29" s="352"/>
      <c r="M29" s="354"/>
    </row>
    <row r="30" spans="1:13" s="353" customFormat="1" ht="13.5" customHeight="1" hidden="1">
      <c r="A30" s="355">
        <v>15.3</v>
      </c>
      <c r="B30" s="348" t="s">
        <v>129</v>
      </c>
      <c r="C30" s="349">
        <v>74617835</v>
      </c>
      <c r="D30" s="349">
        <v>731133174</v>
      </c>
      <c r="E30" s="349">
        <v>1206182269</v>
      </c>
      <c r="F30" s="349">
        <f t="shared" si="0"/>
        <v>968657721.5</v>
      </c>
      <c r="G30" s="350">
        <f t="shared" si="1"/>
        <v>12.981584382607723</v>
      </c>
      <c r="H30" s="351"/>
      <c r="I30" s="352"/>
      <c r="J30" s="352"/>
      <c r="K30" s="352"/>
      <c r="M30" s="354"/>
    </row>
    <row r="31" spans="1:13" s="353" customFormat="1" ht="13.5" customHeight="1" hidden="1">
      <c r="A31" s="355">
        <v>15.4</v>
      </c>
      <c r="B31" s="348" t="s">
        <v>130</v>
      </c>
      <c r="C31" s="349">
        <v>6366115</v>
      </c>
      <c r="D31" s="349">
        <v>1742386</v>
      </c>
      <c r="E31" s="349">
        <v>3535050</v>
      </c>
      <c r="F31" s="349">
        <f t="shared" si="0"/>
        <v>2638718</v>
      </c>
      <c r="G31" s="350">
        <f t="shared" si="1"/>
        <v>0.4144942402077248</v>
      </c>
      <c r="H31" s="351"/>
      <c r="I31" s="352"/>
      <c r="J31" s="352"/>
      <c r="K31" s="352"/>
      <c r="M31" s="354"/>
    </row>
    <row r="32" spans="1:13" s="353" customFormat="1" ht="13.5" customHeight="1" hidden="1">
      <c r="A32" s="355">
        <v>15.5</v>
      </c>
      <c r="B32" s="348" t="s">
        <v>131</v>
      </c>
      <c r="C32" s="349">
        <v>17221075</v>
      </c>
      <c r="D32" s="349">
        <v>1579666</v>
      </c>
      <c r="E32" s="349">
        <v>12036315</v>
      </c>
      <c r="F32" s="349">
        <f t="shared" si="0"/>
        <v>6807990.5</v>
      </c>
      <c r="G32" s="350">
        <f t="shared" si="1"/>
        <v>0.3953290082065144</v>
      </c>
      <c r="H32" s="351"/>
      <c r="I32" s="352"/>
      <c r="J32" s="352"/>
      <c r="K32" s="352"/>
      <c r="M32" s="354"/>
    </row>
    <row r="33" spans="1:13" s="353" customFormat="1" ht="13.5" customHeight="1" hidden="1">
      <c r="A33" s="355">
        <v>15.6</v>
      </c>
      <c r="B33" s="348" t="s">
        <v>229</v>
      </c>
      <c r="C33" s="349">
        <v>0</v>
      </c>
      <c r="D33" s="349">
        <v>0</v>
      </c>
      <c r="E33" s="349">
        <v>0</v>
      </c>
      <c r="F33" s="349"/>
      <c r="G33" s="350">
        <f>IF(C33=0,0,+F33/C33)</f>
        <v>0</v>
      </c>
      <c r="H33" s="351"/>
      <c r="I33" s="352"/>
      <c r="J33" s="352"/>
      <c r="K33" s="352"/>
      <c r="M33" s="354"/>
    </row>
    <row r="34" spans="1:13" s="353" customFormat="1" ht="13.5" customHeight="1" hidden="1">
      <c r="A34" s="355">
        <v>15.7</v>
      </c>
      <c r="B34" s="348" t="s">
        <v>132</v>
      </c>
      <c r="C34" s="349">
        <v>67289759</v>
      </c>
      <c r="D34" s="349">
        <v>12891003</v>
      </c>
      <c r="E34" s="349">
        <v>12001288</v>
      </c>
      <c r="F34" s="349">
        <f aca="true" t="shared" si="2" ref="F34:F59">(D34+E34)/2</f>
        <v>12446145.5</v>
      </c>
      <c r="G34" s="350">
        <f>F34/C34</f>
        <v>0.18496344295125206</v>
      </c>
      <c r="H34" s="351"/>
      <c r="I34" s="352"/>
      <c r="J34" s="352"/>
      <c r="K34" s="352"/>
      <c r="M34" s="354"/>
    </row>
    <row r="35" spans="1:13" s="353" customFormat="1" ht="13.5" customHeight="1" hidden="1">
      <c r="A35" s="355">
        <v>15.8</v>
      </c>
      <c r="B35" s="348" t="s">
        <v>133</v>
      </c>
      <c r="C35" s="349">
        <v>0</v>
      </c>
      <c r="D35" s="349">
        <v>0</v>
      </c>
      <c r="E35" s="349">
        <v>0</v>
      </c>
      <c r="F35" s="349">
        <f t="shared" si="2"/>
        <v>0</v>
      </c>
      <c r="G35" s="350">
        <f>IF(C35=0,0,+F35/C35)</f>
        <v>0</v>
      </c>
      <c r="H35" s="351"/>
      <c r="I35" s="352"/>
      <c r="J35" s="352"/>
      <c r="K35" s="352"/>
      <c r="M35" s="354"/>
    </row>
    <row r="36" spans="1:13" s="353" customFormat="1" ht="13.5" customHeight="1" hidden="1">
      <c r="A36" s="355">
        <v>16</v>
      </c>
      <c r="B36" s="348" t="s">
        <v>230</v>
      </c>
      <c r="C36" s="349">
        <v>10277604518</v>
      </c>
      <c r="D36" s="349">
        <v>3345462793</v>
      </c>
      <c r="E36" s="349">
        <v>3215534087</v>
      </c>
      <c r="F36" s="349">
        <f t="shared" si="2"/>
        <v>3280498440</v>
      </c>
      <c r="G36" s="350">
        <f aca="true" t="shared" si="3" ref="G36:G62">F36/C36</f>
        <v>0.319189012795209</v>
      </c>
      <c r="H36" s="351"/>
      <c r="I36" s="352"/>
      <c r="J36" s="352"/>
      <c r="K36" s="352"/>
      <c r="M36" s="354"/>
    </row>
    <row r="37" spans="1:13" s="353" customFormat="1" ht="13.5" customHeight="1">
      <c r="A37" s="355">
        <v>17</v>
      </c>
      <c r="B37" s="348" t="s">
        <v>52</v>
      </c>
      <c r="C37" s="349">
        <f>+C38+C39</f>
        <v>13493841033</v>
      </c>
      <c r="D37" s="349">
        <f>+D38+D39</f>
        <v>8815356746</v>
      </c>
      <c r="E37" s="349">
        <f>+E38+E39</f>
        <v>6980215110</v>
      </c>
      <c r="F37" s="349">
        <f t="shared" si="2"/>
        <v>7897785928</v>
      </c>
      <c r="G37" s="350">
        <f t="shared" si="3"/>
        <v>0.5852881999043482</v>
      </c>
      <c r="H37" s="358" t="s">
        <v>161</v>
      </c>
      <c r="M37" s="354" t="s">
        <v>161</v>
      </c>
    </row>
    <row r="38" spans="1:13" s="353" customFormat="1" ht="13.5" customHeight="1">
      <c r="A38" s="355">
        <v>17.1</v>
      </c>
      <c r="B38" s="348" t="s">
        <v>231</v>
      </c>
      <c r="C38" s="349">
        <v>6778771034</v>
      </c>
      <c r="D38" s="349">
        <v>4055433374</v>
      </c>
      <c r="E38" s="349">
        <v>3441277732</v>
      </c>
      <c r="F38" s="349">
        <f t="shared" si="2"/>
        <v>3748355553</v>
      </c>
      <c r="G38" s="350">
        <f t="shared" si="3"/>
        <v>0.552955031848624</v>
      </c>
      <c r="H38" s="351"/>
      <c r="I38" s="352"/>
      <c r="J38" s="352"/>
      <c r="K38" s="352"/>
      <c r="M38" s="354" t="s">
        <v>161</v>
      </c>
    </row>
    <row r="39" spans="1:13" s="353" customFormat="1" ht="13.5" customHeight="1">
      <c r="A39" s="355">
        <v>17.2</v>
      </c>
      <c r="B39" s="348" t="s">
        <v>232</v>
      </c>
      <c r="C39" s="349">
        <v>6715069999</v>
      </c>
      <c r="D39" s="349">
        <v>4759923372</v>
      </c>
      <c r="E39" s="349">
        <v>3538937378</v>
      </c>
      <c r="F39" s="349">
        <f t="shared" si="2"/>
        <v>4149430375</v>
      </c>
      <c r="G39" s="350">
        <f t="shared" si="3"/>
        <v>0.6179280894492429</v>
      </c>
      <c r="H39" s="351"/>
      <c r="I39" s="352"/>
      <c r="J39" s="352"/>
      <c r="K39" s="352"/>
      <c r="M39" s="354" t="s">
        <v>161</v>
      </c>
    </row>
    <row r="40" spans="1:13" s="353" customFormat="1" ht="13.5" customHeight="1" hidden="1">
      <c r="A40" s="355">
        <v>17.3</v>
      </c>
      <c r="B40" s="348" t="s">
        <v>233</v>
      </c>
      <c r="C40" s="349">
        <v>214461757</v>
      </c>
      <c r="D40" s="349">
        <v>86252672</v>
      </c>
      <c r="E40" s="349">
        <v>81316512</v>
      </c>
      <c r="F40" s="349">
        <f t="shared" si="2"/>
        <v>83784592</v>
      </c>
      <c r="G40" s="350">
        <f t="shared" si="3"/>
        <v>0.3906738113686162</v>
      </c>
      <c r="H40" s="351"/>
      <c r="M40" s="354"/>
    </row>
    <row r="41" spans="1:13" s="353" customFormat="1" ht="13.5" customHeight="1">
      <c r="A41" s="355">
        <v>18</v>
      </c>
      <c r="B41" s="348" t="s">
        <v>53</v>
      </c>
      <c r="C41" s="349">
        <v>628161776</v>
      </c>
      <c r="D41" s="349">
        <v>337190432</v>
      </c>
      <c r="E41" s="349">
        <v>308729609</v>
      </c>
      <c r="F41" s="349">
        <f t="shared" si="2"/>
        <v>322960020.5</v>
      </c>
      <c r="G41" s="350">
        <f t="shared" si="3"/>
        <v>0.5141351047441002</v>
      </c>
      <c r="H41" s="351"/>
      <c r="I41" s="359" t="s">
        <v>224</v>
      </c>
      <c r="J41" s="359" t="s">
        <v>225</v>
      </c>
      <c r="K41" s="359" t="s">
        <v>226</v>
      </c>
      <c r="M41" s="354" t="s">
        <v>161</v>
      </c>
    </row>
    <row r="42" spans="1:13" s="353" customFormat="1" ht="13.5" customHeight="1">
      <c r="A42" s="355">
        <v>18.1</v>
      </c>
      <c r="B42" s="348" t="s">
        <v>234</v>
      </c>
      <c r="C42" s="349">
        <f>C41*(I42/(I42+I43))</f>
        <v>519778838.9038576</v>
      </c>
      <c r="D42" s="349">
        <f>D41*(J42/(J42+J43))</f>
        <v>275305772.18290395</v>
      </c>
      <c r="E42" s="349">
        <f>E41*(K42/(K42+K43))</f>
        <v>258608420.99177024</v>
      </c>
      <c r="F42" s="349">
        <f t="shared" si="2"/>
        <v>266957096.58733708</v>
      </c>
      <c r="G42" s="350">
        <f t="shared" si="3"/>
        <v>0.5135974699360848</v>
      </c>
      <c r="H42" s="358" t="s">
        <v>161</v>
      </c>
      <c r="I42" s="360">
        <v>2851172</v>
      </c>
      <c r="J42" s="361">
        <v>1466400</v>
      </c>
      <c r="K42" s="362">
        <v>1409496</v>
      </c>
      <c r="M42" s="354" t="s">
        <v>161</v>
      </c>
    </row>
    <row r="43" spans="1:13" s="353" customFormat="1" ht="13.5" customHeight="1">
      <c r="A43" s="355">
        <v>18.2</v>
      </c>
      <c r="B43" s="348" t="s">
        <v>235</v>
      </c>
      <c r="C43" s="349">
        <f>C41-C42</f>
        <v>108382937.09614241</v>
      </c>
      <c r="D43" s="349">
        <f>D41-D42</f>
        <v>61884659.817096055</v>
      </c>
      <c r="E43" s="349">
        <f>E41-E42</f>
        <v>50121188.00822976</v>
      </c>
      <c r="F43" s="349">
        <f t="shared" si="2"/>
        <v>56002923.91266291</v>
      </c>
      <c r="G43" s="350">
        <f t="shared" si="3"/>
        <v>0.5167134736622319</v>
      </c>
      <c r="H43" s="358" t="s">
        <v>161</v>
      </c>
      <c r="I43" s="363">
        <v>594519</v>
      </c>
      <c r="J43" s="364">
        <v>329625</v>
      </c>
      <c r="K43" s="365">
        <v>273176</v>
      </c>
      <c r="M43" s="354" t="s">
        <v>161</v>
      </c>
    </row>
    <row r="44" spans="1:13" s="353" customFormat="1" ht="13.5" customHeight="1" hidden="1">
      <c r="A44" s="355">
        <v>19.1</v>
      </c>
      <c r="B44" s="348" t="s">
        <v>126</v>
      </c>
      <c r="C44" s="349">
        <v>-47324</v>
      </c>
      <c r="D44" s="349">
        <v>721</v>
      </c>
      <c r="E44" s="349">
        <v>1244</v>
      </c>
      <c r="F44" s="349">
        <f t="shared" si="2"/>
        <v>982.5</v>
      </c>
      <c r="G44" s="350">
        <f t="shared" si="3"/>
        <v>-0.02076113599864762</v>
      </c>
      <c r="H44" s="351"/>
      <c r="I44" s="352"/>
      <c r="J44" s="352"/>
      <c r="K44" s="352"/>
      <c r="M44" s="354"/>
    </row>
    <row r="45" spans="1:13" s="353" customFormat="1" ht="13.5" customHeight="1">
      <c r="A45" s="355" t="s">
        <v>176</v>
      </c>
      <c r="B45" s="348" t="s">
        <v>154</v>
      </c>
      <c r="C45" s="349">
        <f>+C46+C50</f>
        <v>31469544625</v>
      </c>
      <c r="D45" s="349">
        <f>+D46+D50</f>
        <v>10279426040</v>
      </c>
      <c r="E45" s="349">
        <f>+E46+E50</f>
        <v>10057639618</v>
      </c>
      <c r="F45" s="349">
        <f t="shared" si="2"/>
        <v>10168532829</v>
      </c>
      <c r="G45" s="350">
        <f t="shared" si="3"/>
        <v>0.32312297334362844</v>
      </c>
      <c r="H45" s="358" t="s">
        <v>161</v>
      </c>
      <c r="I45" s="335"/>
      <c r="J45" s="335"/>
      <c r="K45" s="335"/>
      <c r="M45" s="354" t="s">
        <v>161</v>
      </c>
    </row>
    <row r="46" spans="1:13" s="353" customFormat="1" ht="13.5" customHeight="1">
      <c r="A46" s="355">
        <v>19.2</v>
      </c>
      <c r="B46" s="348" t="s">
        <v>54</v>
      </c>
      <c r="C46" s="349">
        <v>17763566333</v>
      </c>
      <c r="D46" s="349">
        <v>5684549636</v>
      </c>
      <c r="E46" s="349">
        <v>5693733410</v>
      </c>
      <c r="F46" s="349">
        <f t="shared" si="2"/>
        <v>5689141523</v>
      </c>
      <c r="G46" s="350">
        <f t="shared" si="3"/>
        <v>0.32027023269708416</v>
      </c>
      <c r="H46" s="351"/>
      <c r="I46" s="335"/>
      <c r="J46" s="335"/>
      <c r="K46" s="335"/>
      <c r="M46" s="354" t="s">
        <v>161</v>
      </c>
    </row>
    <row r="47" spans="1:13" s="353" customFormat="1" ht="13.5" customHeight="1" hidden="1">
      <c r="A47" s="355">
        <v>19.3</v>
      </c>
      <c r="B47" s="348" t="s">
        <v>236</v>
      </c>
      <c r="C47" s="349">
        <v>17996190</v>
      </c>
      <c r="D47" s="349">
        <v>16874997</v>
      </c>
      <c r="E47" s="349">
        <v>7212901</v>
      </c>
      <c r="F47" s="349">
        <f t="shared" si="2"/>
        <v>12043949</v>
      </c>
      <c r="G47" s="350">
        <f t="shared" si="3"/>
        <v>0.6692499356808302</v>
      </c>
      <c r="H47" s="351"/>
      <c r="I47" s="352"/>
      <c r="J47" s="352"/>
      <c r="K47" s="352"/>
      <c r="M47" s="354"/>
    </row>
    <row r="48" spans="1:13" s="353" customFormat="1" ht="13.5" customHeight="1">
      <c r="A48" s="355" t="s">
        <v>177</v>
      </c>
      <c r="B48" s="348" t="s">
        <v>155</v>
      </c>
      <c r="C48" s="349">
        <f>+C49+C51</f>
        <v>5781491706</v>
      </c>
      <c r="D48" s="349">
        <f>+D49+D51</f>
        <v>2563357213</v>
      </c>
      <c r="E48" s="349">
        <f>+E49+E51</f>
        <v>2315609052</v>
      </c>
      <c r="F48" s="349">
        <f t="shared" si="2"/>
        <v>2439483132.5</v>
      </c>
      <c r="G48" s="350">
        <f t="shared" si="3"/>
        <v>0.4219470089299476</v>
      </c>
      <c r="H48" s="358" t="s">
        <v>161</v>
      </c>
      <c r="I48" s="352"/>
      <c r="J48" s="352"/>
      <c r="K48" s="352"/>
      <c r="M48" s="354" t="s">
        <v>161</v>
      </c>
    </row>
    <row r="49" spans="1:13" s="353" customFormat="1" ht="13.5" customHeight="1">
      <c r="A49" s="355">
        <v>19.4</v>
      </c>
      <c r="B49" s="348" t="s">
        <v>55</v>
      </c>
      <c r="C49" s="349">
        <v>4615466582</v>
      </c>
      <c r="D49" s="349">
        <v>2029982291</v>
      </c>
      <c r="E49" s="349">
        <v>1840096641</v>
      </c>
      <c r="F49" s="349">
        <f t="shared" si="2"/>
        <v>1935039466</v>
      </c>
      <c r="G49" s="350">
        <f t="shared" si="3"/>
        <v>0.41925110530461207</v>
      </c>
      <c r="H49" s="351"/>
      <c r="I49" s="366" t="s">
        <v>237</v>
      </c>
      <c r="J49" s="352"/>
      <c r="K49" s="352"/>
      <c r="M49" s="354" t="s">
        <v>161</v>
      </c>
    </row>
    <row r="50" spans="1:13" s="353" customFormat="1" ht="13.5" customHeight="1">
      <c r="A50" s="355">
        <v>21.1</v>
      </c>
      <c r="B50" s="348" t="s">
        <v>56</v>
      </c>
      <c r="C50" s="349">
        <v>13705978292</v>
      </c>
      <c r="D50" s="349">
        <v>4594876404</v>
      </c>
      <c r="E50" s="349">
        <v>4363906208</v>
      </c>
      <c r="F50" s="349">
        <f t="shared" si="2"/>
        <v>4479391306</v>
      </c>
      <c r="G50" s="350">
        <f t="shared" si="3"/>
        <v>0.3268202539482032</v>
      </c>
      <c r="H50" s="351"/>
      <c r="I50" s="367" t="s">
        <v>238</v>
      </c>
      <c r="J50" s="368"/>
      <c r="K50" s="352"/>
      <c r="M50" s="354" t="s">
        <v>161</v>
      </c>
    </row>
    <row r="51" spans="1:13" s="353" customFormat="1" ht="13.5" customHeight="1">
      <c r="A51" s="355">
        <v>21.2</v>
      </c>
      <c r="B51" s="348" t="s">
        <v>57</v>
      </c>
      <c r="C51" s="349">
        <v>1166025124</v>
      </c>
      <c r="D51" s="349">
        <v>533374922</v>
      </c>
      <c r="E51" s="349">
        <v>475512411</v>
      </c>
      <c r="F51" s="349">
        <f t="shared" si="2"/>
        <v>504443666.5</v>
      </c>
      <c r="G51" s="350">
        <f t="shared" si="3"/>
        <v>0.43261817958907034</v>
      </c>
      <c r="H51" s="351"/>
      <c r="I51" s="367" t="s">
        <v>239</v>
      </c>
      <c r="J51" s="368"/>
      <c r="K51" s="352"/>
      <c r="M51" s="354" t="s">
        <v>161</v>
      </c>
    </row>
    <row r="52" spans="1:13" s="353" customFormat="1" ht="13.5" customHeight="1">
      <c r="A52" s="355">
        <v>22</v>
      </c>
      <c r="B52" s="348" t="s">
        <v>58</v>
      </c>
      <c r="C52" s="349">
        <v>231628614</v>
      </c>
      <c r="D52" s="349">
        <v>92449806</v>
      </c>
      <c r="E52" s="349">
        <v>82240835</v>
      </c>
      <c r="F52" s="349">
        <f t="shared" si="2"/>
        <v>87345320.5</v>
      </c>
      <c r="G52" s="350">
        <f t="shared" si="3"/>
        <v>0.37709210011505745</v>
      </c>
      <c r="H52" s="351"/>
      <c r="I52" s="367" t="s">
        <v>240</v>
      </c>
      <c r="J52" s="368"/>
      <c r="K52" s="352"/>
      <c r="M52" s="354" t="s">
        <v>161</v>
      </c>
    </row>
    <row r="53" spans="1:13" s="353" customFormat="1" ht="13.5" customHeight="1">
      <c r="A53" s="355">
        <v>23</v>
      </c>
      <c r="B53" s="348" t="s">
        <v>59</v>
      </c>
      <c r="C53" s="349">
        <v>151460500</v>
      </c>
      <c r="D53" s="349">
        <v>94019339</v>
      </c>
      <c r="E53" s="349">
        <v>84516311</v>
      </c>
      <c r="F53" s="349">
        <f t="shared" si="2"/>
        <v>89267825</v>
      </c>
      <c r="G53" s="350">
        <f t="shared" si="3"/>
        <v>0.5893802344505663</v>
      </c>
      <c r="H53" s="351"/>
      <c r="I53" s="367" t="s">
        <v>241</v>
      </c>
      <c r="J53" s="368"/>
      <c r="K53" s="352"/>
      <c r="M53" s="354" t="s">
        <v>161</v>
      </c>
    </row>
    <row r="54" spans="1:13" s="353" customFormat="1" ht="13.5" customHeight="1">
      <c r="A54" s="355">
        <v>24</v>
      </c>
      <c r="B54" s="348" t="s">
        <v>60</v>
      </c>
      <c r="C54" s="349">
        <v>916294811</v>
      </c>
      <c r="D54" s="349">
        <v>562688583</v>
      </c>
      <c r="E54" s="349">
        <v>550278103</v>
      </c>
      <c r="F54" s="349">
        <f t="shared" si="2"/>
        <v>556483343</v>
      </c>
      <c r="G54" s="350">
        <f t="shared" si="3"/>
        <v>0.6073191033273242</v>
      </c>
      <c r="H54" s="351"/>
      <c r="I54" s="352"/>
      <c r="J54" s="352"/>
      <c r="K54" s="352"/>
      <c r="M54" s="354" t="s">
        <v>161</v>
      </c>
    </row>
    <row r="55" spans="1:13" s="353" customFormat="1" ht="13.5" customHeight="1">
      <c r="A55" s="355">
        <v>26</v>
      </c>
      <c r="B55" s="348" t="s">
        <v>61</v>
      </c>
      <c r="C55" s="349">
        <v>56690238</v>
      </c>
      <c r="D55" s="349">
        <v>34951469</v>
      </c>
      <c r="E55" s="349">
        <v>29692263</v>
      </c>
      <c r="F55" s="349">
        <f t="shared" si="2"/>
        <v>32321866</v>
      </c>
      <c r="G55" s="350">
        <f t="shared" si="3"/>
        <v>0.57014870884825</v>
      </c>
      <c r="H55" s="351"/>
      <c r="I55" s="352"/>
      <c r="J55" s="352"/>
      <c r="K55" s="352"/>
      <c r="M55" s="354" t="s">
        <v>161</v>
      </c>
    </row>
    <row r="56" spans="1:13" s="353" customFormat="1" ht="13.5" customHeight="1">
      <c r="A56" s="355">
        <v>27</v>
      </c>
      <c r="B56" s="348" t="s">
        <v>62</v>
      </c>
      <c r="C56" s="349">
        <v>177488127</v>
      </c>
      <c r="D56" s="349">
        <v>109249024</v>
      </c>
      <c r="E56" s="349">
        <v>87080646</v>
      </c>
      <c r="F56" s="349">
        <f t="shared" si="2"/>
        <v>98164835</v>
      </c>
      <c r="G56" s="350">
        <f t="shared" si="3"/>
        <v>0.553078319430347</v>
      </c>
      <c r="H56" s="351"/>
      <c r="I56" s="352"/>
      <c r="J56" s="352"/>
      <c r="K56" s="352"/>
      <c r="M56" s="354" t="s">
        <v>161</v>
      </c>
    </row>
    <row r="57" spans="1:13" s="353" customFormat="1" ht="13.5" customHeight="1">
      <c r="A57" s="355">
        <v>28</v>
      </c>
      <c r="B57" s="348" t="s">
        <v>63</v>
      </c>
      <c r="C57" s="349">
        <v>180882812</v>
      </c>
      <c r="D57" s="349">
        <v>78826130</v>
      </c>
      <c r="E57" s="349">
        <v>70688937</v>
      </c>
      <c r="F57" s="349">
        <f t="shared" si="2"/>
        <v>74757533.5</v>
      </c>
      <c r="G57" s="350">
        <f t="shared" si="3"/>
        <v>0.41329263224855217</v>
      </c>
      <c r="H57" s="351"/>
      <c r="I57" s="352"/>
      <c r="J57" s="352"/>
      <c r="K57" s="352"/>
      <c r="M57" s="354" t="s">
        <v>161</v>
      </c>
    </row>
    <row r="58" spans="1:13" s="353" customFormat="1" ht="13.5" customHeight="1" hidden="1">
      <c r="A58" s="355">
        <v>29</v>
      </c>
      <c r="B58" s="348" t="s">
        <v>242</v>
      </c>
      <c r="C58" s="349">
        <v>-3378</v>
      </c>
      <c r="D58" s="349">
        <v>0</v>
      </c>
      <c r="E58" s="349">
        <v>2198</v>
      </c>
      <c r="F58" s="349">
        <f>(D58+E58)/2</f>
        <v>1099</v>
      </c>
      <c r="G58" s="350">
        <f>F58/C58</f>
        <v>-0.32534043812907043</v>
      </c>
      <c r="H58" s="351"/>
      <c r="I58" s="352"/>
      <c r="J58" s="352"/>
      <c r="K58" s="352"/>
      <c r="M58" s="354"/>
    </row>
    <row r="59" spans="1:13" s="353" customFormat="1" ht="13.5" customHeight="1">
      <c r="A59" s="355">
        <v>30</v>
      </c>
      <c r="B59" s="348" t="s">
        <v>156</v>
      </c>
      <c r="C59" s="349">
        <v>206261697</v>
      </c>
      <c r="D59" s="349">
        <v>385744839</v>
      </c>
      <c r="E59" s="349">
        <v>356784304</v>
      </c>
      <c r="F59" s="349">
        <f t="shared" si="2"/>
        <v>371264571.5</v>
      </c>
      <c r="G59" s="350">
        <f t="shared" si="3"/>
        <v>1.799968568570441</v>
      </c>
      <c r="H59" s="351"/>
      <c r="I59" s="352"/>
      <c r="J59" s="352"/>
      <c r="K59" s="352"/>
      <c r="M59" s="354" t="s">
        <v>161</v>
      </c>
    </row>
    <row r="60" spans="1:13" s="353" customFormat="1" ht="13.5" customHeight="1">
      <c r="A60" s="355">
        <v>34</v>
      </c>
      <c r="B60" s="348" t="s">
        <v>64</v>
      </c>
      <c r="C60" s="349">
        <v>109807613</v>
      </c>
      <c r="D60" s="349">
        <v>46334573</v>
      </c>
      <c r="E60" s="349">
        <v>35401550</v>
      </c>
      <c r="F60" s="349">
        <f>(D60+E60)/2</f>
        <v>40868061.5</v>
      </c>
      <c r="G60" s="350">
        <f t="shared" si="3"/>
        <v>0.3721787623231551</v>
      </c>
      <c r="H60" s="351"/>
      <c r="I60" s="352"/>
      <c r="J60" s="352"/>
      <c r="K60" s="352"/>
      <c r="M60" s="354" t="s">
        <v>161</v>
      </c>
    </row>
    <row r="61" spans="1:13" s="353" customFormat="1" ht="13.5" customHeight="1" hidden="1">
      <c r="A61" s="355">
        <v>35</v>
      </c>
      <c r="B61" s="348" t="s">
        <v>243</v>
      </c>
      <c r="C61" s="349">
        <v>93129195703</v>
      </c>
      <c r="D61" s="349">
        <v>42463667905</v>
      </c>
      <c r="E61" s="349">
        <v>38949940474</v>
      </c>
      <c r="F61" s="349">
        <f>(D61+E61)/2</f>
        <v>40706804189.5</v>
      </c>
      <c r="G61" s="350">
        <f t="shared" si="3"/>
        <v>0.4371003516375123</v>
      </c>
      <c r="H61" s="351"/>
      <c r="I61" s="352"/>
      <c r="J61" s="352"/>
      <c r="K61" s="352"/>
      <c r="M61" s="354"/>
    </row>
    <row r="62" spans="1:13" s="353" customFormat="1" ht="13.5" customHeight="1">
      <c r="A62" s="355"/>
      <c r="B62" s="348" t="s">
        <v>244</v>
      </c>
      <c r="C62" s="349">
        <f>+C7+C8+C11+C12+C13+C14+C16+C17+C20+C23+C24+C25+C38+C39+C42+C43+C46+C49+C50+C51+C52+C53+C54+C55+C56+C57+C59+C60</f>
        <v>80273868056</v>
      </c>
      <c r="D62" s="349">
        <f>+D7+D8+D11+D12+D13+D14+D16+D17+D20+D23+D24+D25+D38+D39+D42+D43+D46+D49+D50+D51+D52+D53+D54+D55+D56+D57+D59+D60</f>
        <v>36847662997</v>
      </c>
      <c r="E62" s="349">
        <f>+E7+E8+E11+E12+E13+E14+E16+E17+E20+E23+E24+E25+E38+E39+E42+E43+E46+E49+E50+E51+E52+E53+E54+E55+E56+E57+E59+E60</f>
        <v>32973601665</v>
      </c>
      <c r="F62" s="349">
        <f>(D62+E62)/2</f>
        <v>34910632331</v>
      </c>
      <c r="G62" s="350">
        <f t="shared" si="3"/>
        <v>0.43489410908473886</v>
      </c>
      <c r="H62" s="358" t="s">
        <v>161</v>
      </c>
      <c r="I62" s="352"/>
      <c r="J62" s="352"/>
      <c r="K62" s="352"/>
      <c r="M62" s="354" t="s">
        <v>161</v>
      </c>
    </row>
    <row r="63" ht="15.75">
      <c r="E63" s="352"/>
    </row>
    <row r="65" spans="1:7" ht="15.75">
      <c r="A65" s="335"/>
      <c r="B65" s="335"/>
      <c r="C65" s="335"/>
      <c r="D65" s="335"/>
      <c r="E65" s="335"/>
      <c r="F65" s="335"/>
      <c r="G65" s="335"/>
    </row>
    <row r="66" spans="1:7" ht="15.75">
      <c r="A66" s="335"/>
      <c r="B66" s="335"/>
      <c r="C66" s="335"/>
      <c r="D66" s="335"/>
      <c r="E66" s="335"/>
      <c r="F66" s="335"/>
      <c r="G66" s="335"/>
    </row>
    <row r="67" spans="1:7" ht="15.75">
      <c r="A67" s="335"/>
      <c r="B67" s="335"/>
      <c r="C67" s="335"/>
      <c r="D67" s="335"/>
      <c r="E67" s="335"/>
      <c r="F67" s="335"/>
      <c r="G67" s="335"/>
    </row>
  </sheetData>
  <sheetProtection/>
  <mergeCells count="2">
    <mergeCell ref="A1:G1"/>
    <mergeCell ref="A2:G2"/>
  </mergeCells>
  <printOptions horizontalCentered="1"/>
  <pageMargins left="0.25" right="0.25" top="1" bottom="0.25" header="0.5" footer="0.5"/>
  <pageSetup fitToHeight="1" fitToWidth="1" horizontalDpi="600" verticalDpi="600" orientation="landscape" scale="78" r:id="rId3"/>
  <headerFooter alignWithMargins="0">
    <oddFooter>&amp;LCalifornia Department of Insurance&amp;RRate Specialist Bureau - 8/18/2022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SheetLayoutView="103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E1"/>
    </sheetView>
  </sheetViews>
  <sheetFormatPr defaultColWidth="9.140625" defaultRowHeight="12.75"/>
  <cols>
    <col min="1" max="1" width="14.140625" style="413" customWidth="1"/>
    <col min="2" max="2" width="28.8515625" style="414" customWidth="1"/>
    <col min="3" max="4" width="18.421875" style="416" customWidth="1"/>
    <col min="5" max="5" width="19.140625" style="416" customWidth="1"/>
    <col min="6" max="6" width="9.140625" style="416" customWidth="1"/>
    <col min="7" max="7" width="9.140625" style="376" hidden="1" customWidth="1"/>
    <col min="8" max="9" width="9.140625" style="414" hidden="1" customWidth="1"/>
    <col min="10" max="16384" width="9.140625" style="414" customWidth="1"/>
  </cols>
  <sheetData>
    <row r="1" spans="1:7" s="377" customFormat="1" ht="24.75" customHeight="1">
      <c r="A1" s="374" t="s">
        <v>245</v>
      </c>
      <c r="B1" s="374"/>
      <c r="C1" s="374"/>
      <c r="D1" s="374"/>
      <c r="E1" s="374"/>
      <c r="F1" s="375"/>
      <c r="G1" s="376"/>
    </row>
    <row r="2" spans="1:7" s="377" customFormat="1" ht="19.5" customHeight="1">
      <c r="A2" s="375"/>
      <c r="B2" s="375"/>
      <c r="C2" s="375"/>
      <c r="D2" s="375"/>
      <c r="E2" s="375"/>
      <c r="F2" s="375"/>
      <c r="G2" s="376"/>
    </row>
    <row r="3" spans="1:7" s="377" customFormat="1" ht="19.5" customHeight="1" thickBot="1">
      <c r="A3" s="375"/>
      <c r="B3" s="375"/>
      <c r="C3" s="378"/>
      <c r="D3" s="335"/>
      <c r="E3" s="375"/>
      <c r="F3" s="375"/>
      <c r="G3" s="376"/>
    </row>
    <row r="4" spans="1:7" s="385" customFormat="1" ht="14.25" customHeight="1">
      <c r="A4" s="379"/>
      <c r="B4" s="380"/>
      <c r="C4" s="381" t="s">
        <v>246</v>
      </c>
      <c r="D4" s="381" t="s">
        <v>247</v>
      </c>
      <c r="E4" s="382" t="s">
        <v>248</v>
      </c>
      <c r="F4" s="383"/>
      <c r="G4" s="384"/>
    </row>
    <row r="5" spans="1:7" s="385" customFormat="1" ht="14.25" customHeight="1">
      <c r="A5" s="386"/>
      <c r="B5" s="387" t="s">
        <v>0</v>
      </c>
      <c r="C5" s="388" t="s">
        <v>15</v>
      </c>
      <c r="D5" s="388" t="s">
        <v>15</v>
      </c>
      <c r="E5" s="389"/>
      <c r="F5" s="390"/>
      <c r="G5" s="384"/>
    </row>
    <row r="6" spans="1:9" s="397" customFormat="1" ht="14.25" customHeight="1" thickBot="1">
      <c r="A6" s="391"/>
      <c r="B6" s="392"/>
      <c r="C6" s="393" t="s">
        <v>249</v>
      </c>
      <c r="D6" s="393" t="s">
        <v>250</v>
      </c>
      <c r="E6" s="394" t="s">
        <v>251</v>
      </c>
      <c r="F6" s="395"/>
      <c r="G6" s="396" t="s">
        <v>220</v>
      </c>
      <c r="I6" s="398" t="s">
        <v>187</v>
      </c>
    </row>
    <row r="7" spans="1:9" s="405" customFormat="1" ht="18" customHeight="1">
      <c r="A7" s="399" t="s">
        <v>76</v>
      </c>
      <c r="B7" s="400" t="s">
        <v>41</v>
      </c>
      <c r="C7" s="401">
        <v>0.49987916017975204</v>
      </c>
      <c r="D7" s="401">
        <v>0.515166060245236</v>
      </c>
      <c r="E7" s="402">
        <f>+D7-C7</f>
        <v>0.015286900065484</v>
      </c>
      <c r="F7" s="403"/>
      <c r="G7" s="404" t="s">
        <v>161</v>
      </c>
      <c r="I7" s="406">
        <f>+C7/D7-1</f>
        <v>-0.029673732889559767</v>
      </c>
    </row>
    <row r="8" spans="1:9" s="405" customFormat="1" ht="12.75" customHeight="1">
      <c r="A8" s="407" t="s">
        <v>77</v>
      </c>
      <c r="B8" s="400" t="s">
        <v>42</v>
      </c>
      <c r="C8" s="401">
        <v>0.48378394701008326</v>
      </c>
      <c r="D8" s="401">
        <v>0.49642851354661766</v>
      </c>
      <c r="E8" s="402">
        <f aca="true" t="shared" si="0" ref="E8:E62">+D8-C8</f>
        <v>0.012644566536534396</v>
      </c>
      <c r="F8" s="403"/>
      <c r="G8" s="404" t="s">
        <v>161</v>
      </c>
      <c r="I8" s="406">
        <f aca="true" t="shared" si="1" ref="I8:I62">+C8/D8-1</f>
        <v>-0.02547107225207157</v>
      </c>
    </row>
    <row r="9" spans="1:9" s="405" customFormat="1" ht="12.75" customHeight="1" hidden="1">
      <c r="A9" s="407" t="s">
        <v>221</v>
      </c>
      <c r="B9" s="400" t="s">
        <v>119</v>
      </c>
      <c r="C9" s="401">
        <v>0.2952040371624041</v>
      </c>
      <c r="D9" s="401">
        <v>0.29672756248244775</v>
      </c>
      <c r="E9" s="402">
        <f t="shared" si="0"/>
        <v>0.0015235253200436283</v>
      </c>
      <c r="F9" s="403"/>
      <c r="G9" s="404"/>
      <c r="I9" s="406">
        <f t="shared" si="1"/>
        <v>-0.005134424679991589</v>
      </c>
    </row>
    <row r="10" spans="1:9" s="405" customFormat="1" ht="12.75" customHeight="1" hidden="1">
      <c r="A10" s="407" t="s">
        <v>222</v>
      </c>
      <c r="B10" s="400" t="s">
        <v>120</v>
      </c>
      <c r="C10" s="401">
        <v>0.5428319185899996</v>
      </c>
      <c r="D10" s="401">
        <v>0.5448629689605822</v>
      </c>
      <c r="E10" s="402">
        <f t="shared" si="0"/>
        <v>0.002031050370582599</v>
      </c>
      <c r="F10" s="403"/>
      <c r="G10" s="404"/>
      <c r="I10" s="406">
        <f t="shared" si="1"/>
        <v>-0.0037276351785425765</v>
      </c>
    </row>
    <row r="11" spans="1:9" s="405" customFormat="1" ht="12.75" customHeight="1">
      <c r="A11" s="407" t="s">
        <v>180</v>
      </c>
      <c r="B11" s="400" t="s">
        <v>181</v>
      </c>
      <c r="C11" s="401">
        <v>0.0464244349444015</v>
      </c>
      <c r="D11" s="401">
        <v>0.026653810880407226</v>
      </c>
      <c r="E11" s="402">
        <f t="shared" si="0"/>
        <v>-0.019770624063994276</v>
      </c>
      <c r="F11" s="403"/>
      <c r="G11" s="404" t="s">
        <v>161</v>
      </c>
      <c r="I11" s="408">
        <f t="shared" si="1"/>
        <v>0.7417559970205736</v>
      </c>
    </row>
    <row r="12" spans="1:9" s="405" customFormat="1" ht="12.75" customHeight="1">
      <c r="A12" s="407" t="s">
        <v>182</v>
      </c>
      <c r="B12" s="400" t="s">
        <v>183</v>
      </c>
      <c r="C12" s="401">
        <v>0.44121180182166986</v>
      </c>
      <c r="D12" s="401">
        <v>0.4800500837705896</v>
      </c>
      <c r="E12" s="402">
        <f t="shared" si="0"/>
        <v>0.03883828194891975</v>
      </c>
      <c r="F12" s="403"/>
      <c r="G12" s="404" t="s">
        <v>161</v>
      </c>
      <c r="I12" s="406">
        <f t="shared" si="1"/>
        <v>-0.0809046457066761</v>
      </c>
    </row>
    <row r="13" spans="1:9" s="405" customFormat="1" ht="12.75" customHeight="1">
      <c r="A13" s="409" t="s">
        <v>78</v>
      </c>
      <c r="B13" s="400" t="s">
        <v>43</v>
      </c>
      <c r="C13" s="401">
        <v>0.4762655900424814</v>
      </c>
      <c r="D13" s="401">
        <v>0.47510354758054174</v>
      </c>
      <c r="E13" s="402">
        <f t="shared" si="0"/>
        <v>-0.001162042461939683</v>
      </c>
      <c r="F13" s="403"/>
      <c r="G13" s="404" t="s">
        <v>161</v>
      </c>
      <c r="I13" s="406">
        <f t="shared" si="1"/>
        <v>0.0024458719953941443</v>
      </c>
    </row>
    <row r="14" spans="1:9" s="405" customFormat="1" ht="12.75" customHeight="1">
      <c r="A14" s="410" t="s">
        <v>79</v>
      </c>
      <c r="B14" s="400" t="s">
        <v>44</v>
      </c>
      <c r="C14" s="401">
        <v>0.518209285069315</v>
      </c>
      <c r="D14" s="401">
        <v>0.5218297080127106</v>
      </c>
      <c r="E14" s="402">
        <f t="shared" si="0"/>
        <v>0.003620422943395596</v>
      </c>
      <c r="F14" s="403"/>
      <c r="G14" s="404" t="s">
        <v>161</v>
      </c>
      <c r="I14" s="406">
        <f t="shared" si="1"/>
        <v>-0.006937939499809809</v>
      </c>
    </row>
    <row r="15" spans="1:9" s="405" customFormat="1" ht="12.75" customHeight="1">
      <c r="A15" s="410" t="s">
        <v>142</v>
      </c>
      <c r="B15" s="400" t="s">
        <v>141</v>
      </c>
      <c r="C15" s="401">
        <v>0.48838031971370827</v>
      </c>
      <c r="D15" s="401">
        <v>0.4839263184674723</v>
      </c>
      <c r="E15" s="402">
        <f t="shared" si="0"/>
        <v>-0.004454001246235961</v>
      </c>
      <c r="F15" s="403"/>
      <c r="G15" s="404" t="s">
        <v>161</v>
      </c>
      <c r="I15" s="406">
        <f t="shared" si="1"/>
        <v>0.009203883062903317</v>
      </c>
    </row>
    <row r="16" spans="1:9" s="405" customFormat="1" ht="12.75" customHeight="1">
      <c r="A16" s="410" t="s">
        <v>80</v>
      </c>
      <c r="B16" s="400" t="s">
        <v>45</v>
      </c>
      <c r="C16" s="401">
        <v>0.48296506859491667</v>
      </c>
      <c r="D16" s="401">
        <v>0.48502164469252623</v>
      </c>
      <c r="E16" s="402">
        <f t="shared" si="0"/>
        <v>0.0020565760976095637</v>
      </c>
      <c r="F16" s="403"/>
      <c r="G16" s="404" t="s">
        <v>161</v>
      </c>
      <c r="I16" s="406">
        <f t="shared" si="1"/>
        <v>-0.004240173856392082</v>
      </c>
    </row>
    <row r="17" spans="1:9" s="405" customFormat="1" ht="12.75" customHeight="1">
      <c r="A17" s="410" t="s">
        <v>81</v>
      </c>
      <c r="B17" s="400" t="s">
        <v>46</v>
      </c>
      <c r="C17" s="401">
        <v>0.4980172257046888</v>
      </c>
      <c r="D17" s="401">
        <v>0.48202380222454394</v>
      </c>
      <c r="E17" s="402">
        <f t="shared" si="0"/>
        <v>-0.015993423480144875</v>
      </c>
      <c r="F17" s="403"/>
      <c r="G17" s="404" t="s">
        <v>161</v>
      </c>
      <c r="I17" s="406">
        <f t="shared" si="1"/>
        <v>0.033179738026078986</v>
      </c>
    </row>
    <row r="18" spans="1:9" s="405" customFormat="1" ht="12.75" customHeight="1" hidden="1">
      <c r="A18" s="410" t="s">
        <v>82</v>
      </c>
      <c r="B18" s="400" t="s">
        <v>47</v>
      </c>
      <c r="C18" s="401">
        <v>0.39411408006283905</v>
      </c>
      <c r="D18" s="401">
        <v>0.2866529011008425</v>
      </c>
      <c r="E18" s="402">
        <f t="shared" si="0"/>
        <v>-0.10746117896199653</v>
      </c>
      <c r="F18" s="403"/>
      <c r="G18" s="404"/>
      <c r="I18" s="406">
        <f t="shared" si="1"/>
        <v>0.37488257941681336</v>
      </c>
    </row>
    <row r="19" spans="1:9" s="405" customFormat="1" ht="12.75" customHeight="1" hidden="1">
      <c r="A19" s="410" t="s">
        <v>83</v>
      </c>
      <c r="B19" s="400" t="s">
        <v>84</v>
      </c>
      <c r="C19" s="401">
        <v>0.38727235641183644</v>
      </c>
      <c r="D19" s="401">
        <v>0.39086466807961906</v>
      </c>
      <c r="E19" s="402">
        <f t="shared" si="0"/>
        <v>0.0035923116677826217</v>
      </c>
      <c r="F19" s="403"/>
      <c r="G19" s="404"/>
      <c r="I19" s="406">
        <f t="shared" si="1"/>
        <v>-0.009190678925860007</v>
      </c>
    </row>
    <row r="20" spans="1:9" s="405" customFormat="1" ht="12.75" customHeight="1">
      <c r="A20" s="410" t="s">
        <v>85</v>
      </c>
      <c r="B20" s="400" t="s">
        <v>48</v>
      </c>
      <c r="C20" s="401">
        <v>0.27279693855486054</v>
      </c>
      <c r="D20" s="401">
        <v>0.27369996801304597</v>
      </c>
      <c r="E20" s="402">
        <f t="shared" si="0"/>
        <v>0.0009030294581854337</v>
      </c>
      <c r="F20" s="403"/>
      <c r="G20" s="404" t="s">
        <v>161</v>
      </c>
      <c r="I20" s="406">
        <f t="shared" si="1"/>
        <v>-0.0032993407516306306</v>
      </c>
    </row>
    <row r="21" spans="1:9" s="405" customFormat="1" ht="12.75" customHeight="1" hidden="1">
      <c r="A21" s="407">
        <v>10</v>
      </c>
      <c r="B21" s="400" t="s">
        <v>49</v>
      </c>
      <c r="C21" s="401">
        <v>8.515016548520657</v>
      </c>
      <c r="D21" s="401">
        <v>6.814960843072568</v>
      </c>
      <c r="E21" s="402">
        <f t="shared" si="0"/>
        <v>-1.7000557054480891</v>
      </c>
      <c r="F21" s="403"/>
      <c r="G21" s="404"/>
      <c r="I21" s="406">
        <f t="shared" si="1"/>
        <v>0.24945935047832335</v>
      </c>
    </row>
    <row r="22" spans="1:9" s="405" customFormat="1" ht="12.75" customHeight="1">
      <c r="A22" s="407">
        <v>11</v>
      </c>
      <c r="B22" s="400" t="s">
        <v>158</v>
      </c>
      <c r="C22" s="401">
        <v>0.5513965098272936</v>
      </c>
      <c r="D22" s="401">
        <v>0.5157906798621074</v>
      </c>
      <c r="E22" s="402">
        <f t="shared" si="0"/>
        <v>-0.03560582996518624</v>
      </c>
      <c r="F22" s="403"/>
      <c r="G22" s="404" t="s">
        <v>161</v>
      </c>
      <c r="I22" s="406">
        <f t="shared" si="1"/>
        <v>0.06903154972615089</v>
      </c>
    </row>
    <row r="23" spans="1:9" s="405" customFormat="1" ht="12.75" customHeight="1">
      <c r="A23" s="407">
        <v>11.1</v>
      </c>
      <c r="B23" s="400" t="s">
        <v>227</v>
      </c>
      <c r="C23" s="401">
        <v>0.6747692455586359</v>
      </c>
      <c r="D23" s="401">
        <v>0.6507020801971031</v>
      </c>
      <c r="E23" s="402">
        <f t="shared" si="0"/>
        <v>-0.02406716536153286</v>
      </c>
      <c r="F23" s="403"/>
      <c r="G23" s="404" t="s">
        <v>161</v>
      </c>
      <c r="I23" s="406">
        <f t="shared" si="1"/>
        <v>0.03698645831014202</v>
      </c>
    </row>
    <row r="24" spans="1:9" s="405" customFormat="1" ht="12.75" customHeight="1">
      <c r="A24" s="407">
        <v>11.2</v>
      </c>
      <c r="B24" s="400" t="s">
        <v>228</v>
      </c>
      <c r="C24" s="401">
        <v>0.5089551467841397</v>
      </c>
      <c r="D24" s="401">
        <v>0.47360440103971485</v>
      </c>
      <c r="E24" s="402">
        <f t="shared" si="0"/>
        <v>-0.035350745744424816</v>
      </c>
      <c r="F24" s="403"/>
      <c r="G24" s="404" t="s">
        <v>161</v>
      </c>
      <c r="I24" s="406">
        <f t="shared" si="1"/>
        <v>0.07464192829884708</v>
      </c>
    </row>
    <row r="25" spans="1:9" s="405" customFormat="1" ht="12.75" customHeight="1">
      <c r="A25" s="407">
        <v>12</v>
      </c>
      <c r="B25" s="400" t="s">
        <v>51</v>
      </c>
      <c r="C25" s="401">
        <v>0.4970535376438182</v>
      </c>
      <c r="D25" s="401">
        <v>0.48451621817511087</v>
      </c>
      <c r="E25" s="402">
        <f t="shared" si="0"/>
        <v>-0.012537319468707342</v>
      </c>
      <c r="F25" s="403"/>
      <c r="G25" s="404" t="s">
        <v>161</v>
      </c>
      <c r="I25" s="406">
        <f t="shared" si="1"/>
        <v>0.025875954195977435</v>
      </c>
    </row>
    <row r="26" spans="1:9" s="405" customFormat="1" ht="12.75" customHeight="1" hidden="1">
      <c r="A26" s="407">
        <v>13</v>
      </c>
      <c r="B26" s="400" t="s">
        <v>121</v>
      </c>
      <c r="C26" s="401">
        <v>1.0313933540712392</v>
      </c>
      <c r="D26" s="401">
        <v>0.9720612639147763</v>
      </c>
      <c r="E26" s="402">
        <f t="shared" si="0"/>
        <v>-0.0593320901564629</v>
      </c>
      <c r="F26" s="403"/>
      <c r="G26" s="404"/>
      <c r="I26" s="406">
        <f t="shared" si="1"/>
        <v>0.061037397907941715</v>
      </c>
    </row>
    <row r="27" spans="1:9" s="405" customFormat="1" ht="12.75" customHeight="1" hidden="1">
      <c r="A27" s="407">
        <v>14</v>
      </c>
      <c r="B27" s="400" t="s">
        <v>122</v>
      </c>
      <c r="C27" s="401">
        <v>0.594495294572644</v>
      </c>
      <c r="D27" s="401">
        <v>0.5421492483081255</v>
      </c>
      <c r="E27" s="402">
        <f t="shared" si="0"/>
        <v>-0.05234604626451855</v>
      </c>
      <c r="F27" s="403"/>
      <c r="G27" s="404"/>
      <c r="I27" s="406">
        <f t="shared" si="1"/>
        <v>0.096552833795996</v>
      </c>
    </row>
    <row r="28" spans="1:9" s="405" customFormat="1" ht="12.75" customHeight="1" hidden="1">
      <c r="A28" s="407">
        <v>15.1</v>
      </c>
      <c r="B28" s="400" t="s">
        <v>123</v>
      </c>
      <c r="C28" s="401">
        <v>0.1585959705734827</v>
      </c>
      <c r="D28" s="401">
        <v>0.13173168081022962</v>
      </c>
      <c r="E28" s="402">
        <f t="shared" si="0"/>
        <v>-0.026864289763253085</v>
      </c>
      <c r="F28" s="403"/>
      <c r="G28" s="404"/>
      <c r="I28" s="406">
        <f t="shared" si="1"/>
        <v>0.20393188334060142</v>
      </c>
    </row>
    <row r="29" spans="1:9" s="405" customFormat="1" ht="12.75" customHeight="1" hidden="1">
      <c r="A29" s="407">
        <v>15.2</v>
      </c>
      <c r="B29" s="400" t="s">
        <v>128</v>
      </c>
      <c r="C29" s="401">
        <v>0.030912082745651152</v>
      </c>
      <c r="D29" s="401">
        <v>0.013814616755793227</v>
      </c>
      <c r="E29" s="402">
        <f t="shared" si="0"/>
        <v>-0.017097465989857924</v>
      </c>
      <c r="F29" s="403"/>
      <c r="G29" s="404"/>
      <c r="I29" s="406">
        <f t="shared" si="1"/>
        <v>1.2376359252013285</v>
      </c>
    </row>
    <row r="30" spans="1:9" s="405" customFormat="1" ht="12.75" customHeight="1" hidden="1">
      <c r="A30" s="407">
        <v>15.3</v>
      </c>
      <c r="B30" s="400" t="s">
        <v>129</v>
      </c>
      <c r="C30" s="401">
        <v>29.220106326002384</v>
      </c>
      <c r="D30" s="401">
        <v>12.981584382607723</v>
      </c>
      <c r="E30" s="402">
        <f t="shared" si="0"/>
        <v>-16.23852194339466</v>
      </c>
      <c r="F30" s="403"/>
      <c r="G30" s="404"/>
      <c r="I30" s="406">
        <f t="shared" si="1"/>
        <v>1.2508890644465915</v>
      </c>
    </row>
    <row r="31" spans="1:9" s="405" customFormat="1" ht="12.75" customHeight="1" hidden="1">
      <c r="A31" s="407">
        <v>15.4</v>
      </c>
      <c r="B31" s="400" t="s">
        <v>130</v>
      </c>
      <c r="C31" s="401">
        <v>0.5871953275880785</v>
      </c>
      <c r="D31" s="401">
        <v>0.4144942402077248</v>
      </c>
      <c r="E31" s="402">
        <f t="shared" si="0"/>
        <v>-0.17270108738035367</v>
      </c>
      <c r="F31" s="403"/>
      <c r="G31" s="404"/>
      <c r="I31" s="406">
        <f t="shared" si="1"/>
        <v>0.41665497521462314</v>
      </c>
    </row>
    <row r="32" spans="1:9" s="405" customFormat="1" ht="12.75" customHeight="1" hidden="1">
      <c r="A32" s="407">
        <v>15.5</v>
      </c>
      <c r="B32" s="400" t="s">
        <v>131</v>
      </c>
      <c r="C32" s="401">
        <v>-1.7753986172696206</v>
      </c>
      <c r="D32" s="401">
        <v>0.3953290082065144</v>
      </c>
      <c r="E32" s="402">
        <f t="shared" si="0"/>
        <v>2.170727625476135</v>
      </c>
      <c r="F32" s="403"/>
      <c r="G32" s="404"/>
      <c r="I32" s="406">
        <f t="shared" si="1"/>
        <v>-5.490939395831476</v>
      </c>
    </row>
    <row r="33" spans="1:9" s="405" customFormat="1" ht="12.75" customHeight="1" hidden="1">
      <c r="A33" s="407">
        <v>15.6</v>
      </c>
      <c r="B33" s="400" t="s">
        <v>229</v>
      </c>
      <c r="C33" s="401">
        <v>0</v>
      </c>
      <c r="D33" s="401">
        <v>0</v>
      </c>
      <c r="E33" s="402">
        <f t="shared" si="0"/>
        <v>0</v>
      </c>
      <c r="F33" s="403"/>
      <c r="G33" s="404"/>
      <c r="I33" s="406" t="e">
        <f t="shared" si="1"/>
        <v>#DIV/0!</v>
      </c>
    </row>
    <row r="34" spans="1:9" s="405" customFormat="1" ht="12.75" customHeight="1" hidden="1">
      <c r="A34" s="407">
        <v>15.7</v>
      </c>
      <c r="B34" s="400" t="s">
        <v>132</v>
      </c>
      <c r="C34" s="401">
        <v>0.21380186670197157</v>
      </c>
      <c r="D34" s="401">
        <v>0.18496344295125206</v>
      </c>
      <c r="E34" s="402">
        <f t="shared" si="0"/>
        <v>-0.028838423750719516</v>
      </c>
      <c r="F34" s="403"/>
      <c r="G34" s="404"/>
      <c r="I34" s="406">
        <f t="shared" si="1"/>
        <v>0.15591418115156963</v>
      </c>
    </row>
    <row r="35" spans="1:9" s="405" customFormat="1" ht="12.75" customHeight="1" hidden="1">
      <c r="A35" s="407">
        <v>15.8</v>
      </c>
      <c r="B35" s="400" t="s">
        <v>133</v>
      </c>
      <c r="C35" s="401">
        <v>0</v>
      </c>
      <c r="D35" s="401">
        <v>0</v>
      </c>
      <c r="E35" s="402">
        <f t="shared" si="0"/>
        <v>0</v>
      </c>
      <c r="F35" s="403"/>
      <c r="G35" s="404"/>
      <c r="I35" s="406" t="e">
        <f t="shared" si="1"/>
        <v>#DIV/0!</v>
      </c>
    </row>
    <row r="36" spans="1:9" s="405" customFormat="1" ht="12.75" customHeight="1" hidden="1">
      <c r="A36" s="407">
        <v>16</v>
      </c>
      <c r="B36" s="400" t="s">
        <v>124</v>
      </c>
      <c r="C36" s="401">
        <v>0.3188700414184766</v>
      </c>
      <c r="D36" s="401">
        <v>0.319189012795209</v>
      </c>
      <c r="E36" s="402">
        <f t="shared" si="0"/>
        <v>0.00031897137673242426</v>
      </c>
      <c r="F36" s="403"/>
      <c r="G36" s="404"/>
      <c r="I36" s="406">
        <f t="shared" si="1"/>
        <v>-0.000999318159290996</v>
      </c>
    </row>
    <row r="37" spans="1:9" s="405" customFormat="1" ht="12.75" customHeight="1">
      <c r="A37" s="407">
        <v>17</v>
      </c>
      <c r="B37" s="400" t="s">
        <v>52</v>
      </c>
      <c r="C37" s="401">
        <v>0.5963695389056345</v>
      </c>
      <c r="D37" s="401">
        <v>0.5852881999043482</v>
      </c>
      <c r="E37" s="402">
        <f t="shared" si="0"/>
        <v>-0.011081339001286272</v>
      </c>
      <c r="F37" s="403"/>
      <c r="G37" s="404" t="s">
        <v>161</v>
      </c>
      <c r="I37" s="406">
        <f t="shared" si="1"/>
        <v>0.018933132434751476</v>
      </c>
    </row>
    <row r="38" spans="1:9" s="405" customFormat="1" ht="12.75" customHeight="1">
      <c r="A38" s="407">
        <v>17.1</v>
      </c>
      <c r="B38" s="400" t="s">
        <v>231</v>
      </c>
      <c r="C38" s="401">
        <v>0.5656876747150953</v>
      </c>
      <c r="D38" s="401">
        <v>0.552955031848624</v>
      </c>
      <c r="E38" s="402">
        <f t="shared" si="0"/>
        <v>-0.012732642866471244</v>
      </c>
      <c r="F38" s="403"/>
      <c r="G38" s="404" t="s">
        <v>161</v>
      </c>
      <c r="I38" s="406">
        <f t="shared" si="1"/>
        <v>0.0230265430877874</v>
      </c>
    </row>
    <row r="39" spans="1:9" s="405" customFormat="1" ht="12.75" customHeight="1">
      <c r="A39" s="407">
        <v>17.2</v>
      </c>
      <c r="B39" s="400" t="s">
        <v>232</v>
      </c>
      <c r="C39" s="401">
        <v>0.632873472562686</v>
      </c>
      <c r="D39" s="401">
        <v>0.6179280894492429</v>
      </c>
      <c r="E39" s="402">
        <f t="shared" si="0"/>
        <v>-0.014945383113443067</v>
      </c>
      <c r="F39" s="403"/>
      <c r="G39" s="404" t="s">
        <v>161</v>
      </c>
      <c r="I39" s="406">
        <f t="shared" si="1"/>
        <v>0.02418628213966434</v>
      </c>
    </row>
    <row r="40" spans="1:9" s="405" customFormat="1" ht="12.75" customHeight="1" hidden="1">
      <c r="A40" s="407">
        <v>17.3</v>
      </c>
      <c r="B40" s="400" t="s">
        <v>233</v>
      </c>
      <c r="C40" s="401">
        <v>0.4022815466683414</v>
      </c>
      <c r="D40" s="401">
        <v>0.3906738113686162</v>
      </c>
      <c r="E40" s="402">
        <f t="shared" si="0"/>
        <v>-0.011607735299725253</v>
      </c>
      <c r="F40" s="403"/>
      <c r="G40" s="404"/>
      <c r="I40" s="406">
        <f t="shared" si="1"/>
        <v>0.029712089630632876</v>
      </c>
    </row>
    <row r="41" spans="1:9" s="405" customFormat="1" ht="12.75" customHeight="1">
      <c r="A41" s="407">
        <v>18</v>
      </c>
      <c r="B41" s="400" t="s">
        <v>53</v>
      </c>
      <c r="C41" s="401">
        <v>0.5047421066714639</v>
      </c>
      <c r="D41" s="401">
        <v>0.5141351047441002</v>
      </c>
      <c r="E41" s="402">
        <f t="shared" si="0"/>
        <v>0.009392998072636272</v>
      </c>
      <c r="F41" s="403"/>
      <c r="G41" s="404" t="s">
        <v>161</v>
      </c>
      <c r="I41" s="406">
        <f t="shared" si="1"/>
        <v>-0.01826951318041481</v>
      </c>
    </row>
    <row r="42" spans="1:9" s="405" customFormat="1" ht="12.75" customHeight="1">
      <c r="A42" s="407">
        <v>18.1</v>
      </c>
      <c r="B42" s="400" t="s">
        <v>234</v>
      </c>
      <c r="C42" s="401">
        <v>0.5088606343491677</v>
      </c>
      <c r="D42" s="401">
        <v>0.5135974699360848</v>
      </c>
      <c r="E42" s="402">
        <f t="shared" si="0"/>
        <v>0.004736835586917065</v>
      </c>
      <c r="F42" s="403"/>
      <c r="G42" s="404" t="s">
        <v>161</v>
      </c>
      <c r="I42" s="406">
        <f t="shared" si="1"/>
        <v>-0.009222856155242654</v>
      </c>
    </row>
    <row r="43" spans="1:9" s="405" customFormat="1" ht="12.75" customHeight="1">
      <c r="A43" s="407">
        <v>18.2</v>
      </c>
      <c r="B43" s="400" t="s">
        <v>235</v>
      </c>
      <c r="C43" s="401">
        <v>0.48393572021563874</v>
      </c>
      <c r="D43" s="401">
        <v>0.5167134736622319</v>
      </c>
      <c r="E43" s="402">
        <f t="shared" si="0"/>
        <v>0.032777753446593116</v>
      </c>
      <c r="F43" s="403"/>
      <c r="G43" s="404" t="s">
        <v>161</v>
      </c>
      <c r="I43" s="406">
        <f t="shared" si="1"/>
        <v>-0.06343506627431095</v>
      </c>
    </row>
    <row r="44" spans="1:9" s="405" customFormat="1" ht="12.75" customHeight="1" hidden="1">
      <c r="A44" s="407">
        <v>19.1</v>
      </c>
      <c r="B44" s="400" t="s">
        <v>126</v>
      </c>
      <c r="C44" s="401">
        <v>-0.01619791752884504</v>
      </c>
      <c r="D44" s="401">
        <v>-0.02076113599864762</v>
      </c>
      <c r="E44" s="402">
        <f t="shared" si="0"/>
        <v>-0.00456321846980258</v>
      </c>
      <c r="F44" s="403"/>
      <c r="G44" s="404"/>
      <c r="I44" s="406">
        <f t="shared" si="1"/>
        <v>-0.21979618408645019</v>
      </c>
    </row>
    <row r="45" spans="1:9" s="405" customFormat="1" ht="12.75" customHeight="1">
      <c r="A45" s="407" t="s">
        <v>176</v>
      </c>
      <c r="B45" s="400" t="s">
        <v>154</v>
      </c>
      <c r="C45" s="401">
        <v>0.33225379759852586</v>
      </c>
      <c r="D45" s="401">
        <v>0.32312297334362844</v>
      </c>
      <c r="E45" s="402">
        <f t="shared" si="0"/>
        <v>-0.009130824254897418</v>
      </c>
      <c r="F45" s="403"/>
      <c r="G45" s="404" t="s">
        <v>161</v>
      </c>
      <c r="I45" s="406">
        <f t="shared" si="1"/>
        <v>0.02825804727040304</v>
      </c>
    </row>
    <row r="46" spans="1:9" s="405" customFormat="1" ht="12.75" customHeight="1">
      <c r="A46" s="407">
        <v>19.2</v>
      </c>
      <c r="B46" s="400" t="s">
        <v>54</v>
      </c>
      <c r="C46" s="401">
        <v>0.329841496352378</v>
      </c>
      <c r="D46" s="401">
        <v>0.32027023269708416</v>
      </c>
      <c r="E46" s="402">
        <f t="shared" si="0"/>
        <v>-0.009571263655293871</v>
      </c>
      <c r="F46" s="403"/>
      <c r="G46" s="404" t="s">
        <v>161</v>
      </c>
      <c r="I46" s="406">
        <f t="shared" si="1"/>
        <v>0.029884961754614636</v>
      </c>
    </row>
    <row r="47" spans="1:9" s="405" customFormat="1" ht="12.75" customHeight="1" hidden="1">
      <c r="A47" s="407">
        <v>19.3</v>
      </c>
      <c r="B47" s="400" t="s">
        <v>252</v>
      </c>
      <c r="C47" s="401">
        <v>1.2289386157336575</v>
      </c>
      <c r="D47" s="401">
        <v>0.6692499356808302</v>
      </c>
      <c r="E47" s="402">
        <f t="shared" si="0"/>
        <v>-0.5596886800528272</v>
      </c>
      <c r="F47" s="403"/>
      <c r="G47" s="404"/>
      <c r="I47" s="406">
        <f t="shared" si="1"/>
        <v>0.8362924674523189</v>
      </c>
    </row>
    <row r="48" spans="1:9" s="405" customFormat="1" ht="12.75" customHeight="1">
      <c r="A48" s="407" t="s">
        <v>177</v>
      </c>
      <c r="B48" s="400" t="s">
        <v>155</v>
      </c>
      <c r="C48" s="401">
        <v>0.47053014187199477</v>
      </c>
      <c r="D48" s="401">
        <v>0.4219470089299476</v>
      </c>
      <c r="E48" s="402">
        <f t="shared" si="0"/>
        <v>-0.04858313294204719</v>
      </c>
      <c r="F48" s="403"/>
      <c r="G48" s="404" t="s">
        <v>161</v>
      </c>
      <c r="I48" s="406">
        <f t="shared" si="1"/>
        <v>0.11514036576596065</v>
      </c>
    </row>
    <row r="49" spans="1:9" s="405" customFormat="1" ht="12.75" customHeight="1">
      <c r="A49" s="407">
        <v>19.4</v>
      </c>
      <c r="B49" s="400" t="s">
        <v>55</v>
      </c>
      <c r="C49" s="401">
        <v>0.4739795067762193</v>
      </c>
      <c r="D49" s="401">
        <v>0.41925110530461207</v>
      </c>
      <c r="E49" s="402">
        <f t="shared" si="0"/>
        <v>-0.054728401471607235</v>
      </c>
      <c r="F49" s="403"/>
      <c r="G49" s="404" t="s">
        <v>161</v>
      </c>
      <c r="I49" s="408">
        <f t="shared" si="1"/>
        <v>0.1305384786805599</v>
      </c>
    </row>
    <row r="50" spans="1:9" s="405" customFormat="1" ht="12.75" customHeight="1">
      <c r="A50" s="407">
        <v>21.1</v>
      </c>
      <c r="B50" s="400" t="s">
        <v>56</v>
      </c>
      <c r="C50" s="401">
        <v>0.33549281014277643</v>
      </c>
      <c r="D50" s="401">
        <v>0.3268202539482032</v>
      </c>
      <c r="E50" s="402">
        <f t="shared" si="0"/>
        <v>-0.008672556194573244</v>
      </c>
      <c r="F50" s="403"/>
      <c r="G50" s="404" t="s">
        <v>161</v>
      </c>
      <c r="I50" s="406">
        <f t="shared" si="1"/>
        <v>0.02653616503201084</v>
      </c>
    </row>
    <row r="51" spans="1:9" s="405" customFormat="1" ht="12.75" customHeight="1">
      <c r="A51" s="407">
        <v>21.2</v>
      </c>
      <c r="B51" s="400" t="s">
        <v>57</v>
      </c>
      <c r="C51" s="401">
        <v>0.457085951766899</v>
      </c>
      <c r="D51" s="401">
        <v>0.43261817958907034</v>
      </c>
      <c r="E51" s="402">
        <f t="shared" si="0"/>
        <v>-0.02446777217782864</v>
      </c>
      <c r="F51" s="403"/>
      <c r="G51" s="404" t="s">
        <v>161</v>
      </c>
      <c r="I51" s="406">
        <f t="shared" si="1"/>
        <v>0.05655742946602427</v>
      </c>
    </row>
    <row r="52" spans="1:9" s="405" customFormat="1" ht="12.75" customHeight="1">
      <c r="A52" s="407">
        <v>22</v>
      </c>
      <c r="B52" s="400" t="s">
        <v>58</v>
      </c>
      <c r="C52" s="401">
        <v>0.3813489240383941</v>
      </c>
      <c r="D52" s="401">
        <v>0.37709210011505745</v>
      </c>
      <c r="E52" s="402">
        <f t="shared" si="0"/>
        <v>-0.00425682392333665</v>
      </c>
      <c r="F52" s="403"/>
      <c r="G52" s="404" t="s">
        <v>161</v>
      </c>
      <c r="I52" s="406">
        <f t="shared" si="1"/>
        <v>0.01128855237762294</v>
      </c>
    </row>
    <row r="53" spans="1:9" s="405" customFormat="1" ht="12.75" customHeight="1">
      <c r="A53" s="407">
        <v>23</v>
      </c>
      <c r="B53" s="400" t="s">
        <v>59</v>
      </c>
      <c r="C53" s="401">
        <v>0.5869284459189231</v>
      </c>
      <c r="D53" s="401">
        <v>0.5893802344505663</v>
      </c>
      <c r="E53" s="402">
        <f t="shared" si="0"/>
        <v>0.0024517885316431842</v>
      </c>
      <c r="F53" s="403"/>
      <c r="G53" s="404" t="s">
        <v>161</v>
      </c>
      <c r="I53" s="406">
        <f t="shared" si="1"/>
        <v>-0.004159943595544613</v>
      </c>
    </row>
    <row r="54" spans="1:9" s="405" customFormat="1" ht="12.75" customHeight="1">
      <c r="A54" s="407">
        <v>24</v>
      </c>
      <c r="B54" s="400" t="s">
        <v>60</v>
      </c>
      <c r="C54" s="401">
        <v>0.6015788209396578</v>
      </c>
      <c r="D54" s="401">
        <v>0.6073191033273242</v>
      </c>
      <c r="E54" s="402">
        <f t="shared" si="0"/>
        <v>0.00574028238766644</v>
      </c>
      <c r="F54" s="403"/>
      <c r="G54" s="404" t="s">
        <v>161</v>
      </c>
      <c r="I54" s="406">
        <f t="shared" si="1"/>
        <v>-0.009451839002292406</v>
      </c>
    </row>
    <row r="55" spans="1:9" s="405" customFormat="1" ht="12.75" customHeight="1">
      <c r="A55" s="407">
        <v>26</v>
      </c>
      <c r="B55" s="400" t="s">
        <v>61</v>
      </c>
      <c r="C55" s="401">
        <v>0.5403463567716703</v>
      </c>
      <c r="D55" s="401">
        <v>0.57014870884825</v>
      </c>
      <c r="E55" s="402">
        <f t="shared" si="0"/>
        <v>0.029802352076579663</v>
      </c>
      <c r="F55" s="403"/>
      <c r="G55" s="404" t="s">
        <v>161</v>
      </c>
      <c r="I55" s="406">
        <f t="shared" si="1"/>
        <v>-0.052271191031517006</v>
      </c>
    </row>
    <row r="56" spans="1:9" s="405" customFormat="1" ht="12.75" customHeight="1">
      <c r="A56" s="407">
        <v>27</v>
      </c>
      <c r="B56" s="400" t="s">
        <v>62</v>
      </c>
      <c r="C56" s="401">
        <v>0.5355935566925056</v>
      </c>
      <c r="D56" s="401">
        <v>0.553078319430347</v>
      </c>
      <c r="E56" s="402">
        <f t="shared" si="0"/>
        <v>0.017484762737841386</v>
      </c>
      <c r="F56" s="403"/>
      <c r="G56" s="404" t="s">
        <v>161</v>
      </c>
      <c r="I56" s="406">
        <f t="shared" si="1"/>
        <v>-0.03161353848737036</v>
      </c>
    </row>
    <row r="57" spans="1:9" s="405" customFormat="1" ht="12.75" customHeight="1">
      <c r="A57" s="407">
        <v>28</v>
      </c>
      <c r="B57" s="400" t="s">
        <v>63</v>
      </c>
      <c r="C57" s="401">
        <v>0.42506730848013813</v>
      </c>
      <c r="D57" s="401">
        <v>0.41329263224855217</v>
      </c>
      <c r="E57" s="402">
        <f t="shared" si="0"/>
        <v>-0.011774676231585957</v>
      </c>
      <c r="F57" s="403"/>
      <c r="G57" s="404" t="s">
        <v>161</v>
      </c>
      <c r="I57" s="406">
        <f t="shared" si="1"/>
        <v>0.028489925328513355</v>
      </c>
    </row>
    <row r="58" spans="1:9" s="405" customFormat="1" ht="12.75" customHeight="1" hidden="1">
      <c r="A58" s="407">
        <v>29</v>
      </c>
      <c r="B58" s="400" t="s">
        <v>242</v>
      </c>
      <c r="C58" s="401">
        <v>0.3637089101009791</v>
      </c>
      <c r="D58" s="401">
        <v>-0.32534043812907043</v>
      </c>
      <c r="E58" s="402">
        <f t="shared" si="0"/>
        <v>-0.6890493482300495</v>
      </c>
      <c r="F58" s="403"/>
      <c r="G58" s="404"/>
      <c r="I58" s="406">
        <f t="shared" si="1"/>
        <v>-2.117933301475075</v>
      </c>
    </row>
    <row r="59" spans="1:9" s="405" customFormat="1" ht="12.75" customHeight="1">
      <c r="A59" s="407">
        <v>30</v>
      </c>
      <c r="B59" s="400" t="s">
        <v>156</v>
      </c>
      <c r="C59" s="401">
        <v>1.9025159551939477</v>
      </c>
      <c r="D59" s="401">
        <v>1.799968568570441</v>
      </c>
      <c r="E59" s="402">
        <f t="shared" si="0"/>
        <v>-0.10254738662350671</v>
      </c>
      <c r="F59" s="403"/>
      <c r="G59" s="404" t="s">
        <v>161</v>
      </c>
      <c r="I59" s="406">
        <f t="shared" si="1"/>
        <v>0.056971765181961675</v>
      </c>
    </row>
    <row r="60" spans="1:9" s="405" customFormat="1" ht="12.75" customHeight="1">
      <c r="A60" s="407">
        <v>34</v>
      </c>
      <c r="B60" s="400" t="s">
        <v>64</v>
      </c>
      <c r="C60" s="401">
        <v>0.3664560052153267</v>
      </c>
      <c r="D60" s="401">
        <v>0.3721787623231551</v>
      </c>
      <c r="E60" s="402">
        <f t="shared" si="0"/>
        <v>0.005722757107828436</v>
      </c>
      <c r="F60" s="403"/>
      <c r="G60" s="404" t="s">
        <v>161</v>
      </c>
      <c r="I60" s="406">
        <f t="shared" si="1"/>
        <v>-0.01537636664732489</v>
      </c>
    </row>
    <row r="61" spans="1:9" s="405" customFormat="1" ht="12.75" customHeight="1" hidden="1">
      <c r="A61" s="407">
        <v>35</v>
      </c>
      <c r="B61" s="400" t="s">
        <v>243</v>
      </c>
      <c r="C61" s="401">
        <v>0.44389823494630326</v>
      </c>
      <c r="D61" s="401">
        <v>0.4371003516375123</v>
      </c>
      <c r="E61" s="402">
        <f t="shared" si="0"/>
        <v>-0.006797883308790942</v>
      </c>
      <c r="F61" s="403"/>
      <c r="G61" s="404"/>
      <c r="I61" s="406">
        <f t="shared" si="1"/>
        <v>0.015552225669286157</v>
      </c>
    </row>
    <row r="62" spans="1:9" s="405" customFormat="1" ht="20.25" customHeight="1">
      <c r="A62" s="407"/>
      <c r="B62" s="348" t="s">
        <v>244</v>
      </c>
      <c r="C62" s="411">
        <v>0.4377918212320139</v>
      </c>
      <c r="D62" s="401">
        <v>0.43489410908473886</v>
      </c>
      <c r="E62" s="412">
        <f t="shared" si="0"/>
        <v>-0.0028977121472750222</v>
      </c>
      <c r="F62" s="403"/>
      <c r="G62" s="404" t="s">
        <v>161</v>
      </c>
      <c r="I62" s="406">
        <f t="shared" si="1"/>
        <v>0.0066630291989318025</v>
      </c>
    </row>
    <row r="64" ht="15.75">
      <c r="C64" s="415"/>
    </row>
    <row r="65" ht="15.75">
      <c r="C65" s="417"/>
    </row>
  </sheetData>
  <sheetProtection/>
  <mergeCells count="2">
    <mergeCell ref="A1:E1"/>
    <mergeCell ref="E4:E5"/>
  </mergeCells>
  <printOptions horizontalCentered="1"/>
  <pageMargins left="0.25" right="0.25" top="1" bottom="0.5" header="0.5" footer="0.5"/>
  <pageSetup fitToHeight="1" fitToWidth="1" horizontalDpi="600" verticalDpi="600" orientation="portrait" r:id="rId1"/>
  <headerFooter alignWithMargins="0">
    <oddFooter>&amp;LCalifornia Department of Insurance&amp;RRate Specialist Bureau - 8/18/2022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PageLayoutView="0" workbookViewId="0" topLeftCell="A1">
      <selection activeCell="A1" sqref="A1:R1"/>
    </sheetView>
  </sheetViews>
  <sheetFormatPr defaultColWidth="9.28125" defaultRowHeight="12.75"/>
  <cols>
    <col min="1" max="2" width="5.57421875" style="12" customWidth="1"/>
    <col min="3" max="3" width="17.7109375" style="12" customWidth="1"/>
    <col min="4" max="4" width="16.28125" style="13" bestFit="1" customWidth="1"/>
    <col min="5" max="6" width="14.7109375" style="13" customWidth="1"/>
    <col min="7" max="12" width="14.7109375" style="12" customWidth="1"/>
    <col min="13" max="13" width="15.7109375" style="12" hidden="1" customWidth="1"/>
    <col min="14" max="14" width="14.7109375" style="12" hidden="1" customWidth="1"/>
    <col min="15" max="15" width="11.57421875" style="15" customWidth="1"/>
    <col min="16" max="16" width="3.28125" style="15" customWidth="1"/>
    <col min="17" max="17" width="9.57421875" style="12" hidden="1" customWidth="1"/>
    <col min="18" max="18" width="7.28125" style="12" hidden="1" customWidth="1"/>
    <col min="19" max="19" width="18.28125" style="12" hidden="1" customWidth="1"/>
    <col min="20" max="20" width="6.28125" style="12" hidden="1" customWidth="1"/>
    <col min="21" max="21" width="19.7109375" style="12" hidden="1" customWidth="1"/>
    <col min="22" max="22" width="18.28125" style="12" hidden="1" customWidth="1"/>
    <col min="23" max="23" width="9.7109375" style="12" hidden="1" customWidth="1"/>
    <col min="24" max="24" width="4.28125" style="12" hidden="1" customWidth="1"/>
    <col min="25" max="25" width="4.00390625" style="12" hidden="1" customWidth="1"/>
    <col min="26" max="26" width="1.28515625" style="12" hidden="1" customWidth="1"/>
    <col min="27" max="27" width="8.00390625" style="12" hidden="1" customWidth="1"/>
    <col min="28" max="28" width="9.28125" style="12" hidden="1" customWidth="1"/>
    <col min="29" max="29" width="9.28125" style="12" customWidth="1"/>
    <col min="30" max="16384" width="9.28125" style="12" customWidth="1"/>
  </cols>
  <sheetData>
    <row r="1" spans="1:26" s="10" customFormat="1" ht="37.5" customHeight="1" thickBot="1">
      <c r="A1" s="312" t="s">
        <v>206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3"/>
      <c r="Q1" s="312"/>
      <c r="R1" s="312"/>
      <c r="S1" s="51"/>
      <c r="T1" s="54" t="s">
        <v>143</v>
      </c>
      <c r="U1" s="54"/>
      <c r="V1" s="54"/>
      <c r="W1" s="54"/>
      <c r="X1" s="54"/>
      <c r="Y1" s="54"/>
      <c r="Z1" s="54"/>
    </row>
    <row r="2" spans="1:26" ht="4.5" customHeight="1">
      <c r="A2" s="151"/>
      <c r="B2" s="152"/>
      <c r="C2" s="152"/>
      <c r="D2" s="308"/>
      <c r="E2" s="308"/>
      <c r="F2" s="308"/>
      <c r="G2" s="308"/>
      <c r="H2" s="308"/>
      <c r="I2" s="308"/>
      <c r="J2" s="308"/>
      <c r="K2" s="308"/>
      <c r="L2" s="308"/>
      <c r="M2" s="153"/>
      <c r="N2" s="153"/>
      <c r="O2" s="174"/>
      <c r="P2" s="154"/>
      <c r="Q2" s="306"/>
      <c r="R2" s="155"/>
      <c r="S2" s="52"/>
      <c r="T2" s="55"/>
      <c r="U2" s="55"/>
      <c r="V2" s="55"/>
      <c r="W2" s="55"/>
      <c r="X2" s="55"/>
      <c r="Y2" s="55"/>
      <c r="Z2" s="55"/>
    </row>
    <row r="3" spans="1:26" s="11" customFormat="1" ht="15">
      <c r="A3" s="156"/>
      <c r="B3" s="157"/>
      <c r="C3" s="157"/>
      <c r="D3" s="158" t="s">
        <v>1</v>
      </c>
      <c r="E3" s="158" t="s">
        <v>2</v>
      </c>
      <c r="F3" s="158" t="s">
        <v>19</v>
      </c>
      <c r="G3" s="159" t="s">
        <v>6</v>
      </c>
      <c r="H3" s="159" t="s">
        <v>8</v>
      </c>
      <c r="I3" s="159" t="s">
        <v>9</v>
      </c>
      <c r="J3" s="159" t="s">
        <v>11</v>
      </c>
      <c r="K3" s="159" t="s">
        <v>12</v>
      </c>
      <c r="L3" s="159" t="s">
        <v>118</v>
      </c>
      <c r="M3" s="159" t="s">
        <v>191</v>
      </c>
      <c r="N3" s="159" t="s">
        <v>192</v>
      </c>
      <c r="O3" s="175" t="s">
        <v>13</v>
      </c>
      <c r="P3" s="160"/>
      <c r="Q3" s="157"/>
      <c r="R3" s="161"/>
      <c r="S3" s="67" t="s">
        <v>149</v>
      </c>
      <c r="T3" s="61" t="s">
        <v>144</v>
      </c>
      <c r="U3" s="55"/>
      <c r="V3" s="56"/>
      <c r="W3" s="56"/>
      <c r="X3" s="56"/>
      <c r="Y3" s="56"/>
      <c r="Z3" s="56"/>
    </row>
    <row r="4" spans="1:26" s="11" customFormat="1" ht="12.75" customHeight="1">
      <c r="A4" s="156"/>
      <c r="B4" s="157"/>
      <c r="C4" s="157"/>
      <c r="D4" s="162">
        <v>2021</v>
      </c>
      <c r="E4" s="162">
        <v>2021</v>
      </c>
      <c r="F4" s="162">
        <v>2021</v>
      </c>
      <c r="G4" s="162">
        <v>2021</v>
      </c>
      <c r="H4" s="162">
        <v>2021</v>
      </c>
      <c r="I4" s="162">
        <v>2021</v>
      </c>
      <c r="J4" s="162">
        <v>2020</v>
      </c>
      <c r="K4" s="162">
        <v>2020</v>
      </c>
      <c r="L4" s="162">
        <v>2020</v>
      </c>
      <c r="M4" s="162"/>
      <c r="N4" s="162"/>
      <c r="O4" s="176"/>
      <c r="P4" s="163"/>
      <c r="Q4" s="164"/>
      <c r="R4" s="165"/>
      <c r="S4" s="53" t="s">
        <v>151</v>
      </c>
      <c r="T4" s="61" t="s">
        <v>145</v>
      </c>
      <c r="U4" s="55"/>
      <c r="V4" s="56"/>
      <c r="W4" s="56"/>
      <c r="X4" s="56"/>
      <c r="Y4" s="56"/>
      <c r="Z4" s="56"/>
    </row>
    <row r="5" spans="1:26" s="11" customFormat="1" ht="25.5" customHeight="1">
      <c r="A5" s="156"/>
      <c r="B5" s="157"/>
      <c r="C5" s="17" t="s">
        <v>0</v>
      </c>
      <c r="D5" s="166" t="s">
        <v>23</v>
      </c>
      <c r="E5" s="166" t="s">
        <v>24</v>
      </c>
      <c r="F5" s="166" t="s">
        <v>3</v>
      </c>
      <c r="G5" s="167" t="s">
        <v>25</v>
      </c>
      <c r="H5" s="167" t="s">
        <v>26</v>
      </c>
      <c r="I5" s="167" t="s">
        <v>117</v>
      </c>
      <c r="J5" s="167" t="s">
        <v>25</v>
      </c>
      <c r="K5" s="167" t="s">
        <v>26</v>
      </c>
      <c r="L5" s="167" t="s">
        <v>117</v>
      </c>
      <c r="M5" s="167" t="s">
        <v>148</v>
      </c>
      <c r="N5" s="167" t="s">
        <v>197</v>
      </c>
      <c r="O5" s="177" t="s">
        <v>140</v>
      </c>
      <c r="P5" s="168"/>
      <c r="Q5" s="169" t="s">
        <v>115</v>
      </c>
      <c r="R5" s="170" t="s">
        <v>104</v>
      </c>
      <c r="S5" s="304" t="s">
        <v>152</v>
      </c>
      <c r="T5" s="62"/>
      <c r="U5" s="63" t="s">
        <v>150</v>
      </c>
      <c r="V5" s="63" t="s">
        <v>186</v>
      </c>
      <c r="W5" s="64" t="s">
        <v>147</v>
      </c>
      <c r="X5" s="56"/>
      <c r="Y5" s="56"/>
      <c r="Z5" s="56"/>
    </row>
    <row r="6" spans="1:28" s="11" customFormat="1" ht="28.5" customHeight="1" thickBot="1">
      <c r="A6" s="171"/>
      <c r="B6" s="23"/>
      <c r="C6" s="23"/>
      <c r="D6" s="293"/>
      <c r="E6" s="293"/>
      <c r="F6" s="294" t="s">
        <v>105</v>
      </c>
      <c r="G6" s="309"/>
      <c r="H6" s="309"/>
      <c r="I6" s="309"/>
      <c r="J6" s="309"/>
      <c r="K6" s="309"/>
      <c r="L6" s="309"/>
      <c r="M6" s="295"/>
      <c r="N6" s="295"/>
      <c r="O6" s="296" t="s">
        <v>194</v>
      </c>
      <c r="P6" s="172"/>
      <c r="Q6" s="305" t="s">
        <v>196</v>
      </c>
      <c r="R6" s="173"/>
      <c r="S6" s="68" t="s">
        <v>153</v>
      </c>
      <c r="T6" s="65"/>
      <c r="U6" s="222" t="s">
        <v>185</v>
      </c>
      <c r="V6" s="222" t="s">
        <v>3</v>
      </c>
      <c r="W6" s="66" t="s">
        <v>146</v>
      </c>
      <c r="X6" s="56"/>
      <c r="Y6" s="56"/>
      <c r="Z6" s="56"/>
      <c r="AB6"/>
    </row>
    <row r="7" spans="1:28" ht="4.5" customHeight="1" thickBot="1">
      <c r="A7" s="100"/>
      <c r="B7" s="100"/>
      <c r="C7" s="101"/>
      <c r="D7" s="121"/>
      <c r="E7" s="121"/>
      <c r="F7" s="102"/>
      <c r="G7" s="101"/>
      <c r="H7" s="101"/>
      <c r="I7" s="101"/>
      <c r="J7" s="101"/>
      <c r="K7" s="101"/>
      <c r="L7" s="101"/>
      <c r="M7" s="101"/>
      <c r="N7" s="101"/>
      <c r="O7" s="103"/>
      <c r="P7" s="103"/>
      <c r="Q7" s="100"/>
      <c r="R7" s="100"/>
      <c r="T7" s="58"/>
      <c r="U7" s="57"/>
      <c r="V7" s="57"/>
      <c r="W7" s="57"/>
      <c r="X7" s="55"/>
      <c r="Y7" s="55"/>
      <c r="Z7" s="55"/>
      <c r="AB7"/>
    </row>
    <row r="8" spans="1:30" ht="11.25" customHeight="1">
      <c r="A8" s="139" t="s">
        <v>76</v>
      </c>
      <c r="B8" s="140"/>
      <c r="C8" s="141" t="s">
        <v>41</v>
      </c>
      <c r="D8" s="122">
        <v>786467254</v>
      </c>
      <c r="E8" s="122">
        <v>52953173</v>
      </c>
      <c r="F8" s="122">
        <f aca="true" t="shared" si="0" ref="F8:F43">D8+E8</f>
        <v>839420427</v>
      </c>
      <c r="G8" s="122">
        <f>+aoe_2021!G10</f>
        <v>1211969224</v>
      </c>
      <c r="H8" s="122">
        <f>+aoe_2021!H10</f>
        <v>54988504</v>
      </c>
      <c r="I8" s="122">
        <f>+aoe_2021!I10</f>
        <v>36077616.87640637</v>
      </c>
      <c r="J8" s="122">
        <f>+aoe_2020!G10</f>
        <v>1462832833</v>
      </c>
      <c r="K8" s="122">
        <f>+aoe_2020!H10</f>
        <v>47901638</v>
      </c>
      <c r="L8" s="122">
        <f>+aoe_2020!I10</f>
        <v>47025380.732013084</v>
      </c>
      <c r="M8" s="123">
        <f>SUM(G8:L8)</f>
        <v>2860795196.60842</v>
      </c>
      <c r="N8" s="123">
        <f>+M8/2</f>
        <v>1430397598.30421</v>
      </c>
      <c r="O8" s="178">
        <f aca="true" t="shared" si="1" ref="O8:O20">0.5*SUM(G8:L8)/F8</f>
        <v>1.7040300096297394</v>
      </c>
      <c r="P8" s="279"/>
      <c r="Q8" s="104"/>
      <c r="R8" s="104"/>
      <c r="S8" s="303">
        <f>+O8*F8</f>
        <v>1430397598.30421</v>
      </c>
      <c r="T8" s="58" t="str">
        <f>+C8</f>
        <v>FIRE</v>
      </c>
      <c r="U8" s="59">
        <f>SUM(G8:L8)</f>
        <v>2860795196.60842</v>
      </c>
      <c r="V8" s="59">
        <f>+F8</f>
        <v>839420427</v>
      </c>
      <c r="W8" s="57"/>
      <c r="X8" s="55"/>
      <c r="Y8" s="55"/>
      <c r="Z8" s="55"/>
      <c r="AB8"/>
      <c r="AD8" s="289"/>
    </row>
    <row r="9" spans="1:30" ht="11.25" customHeight="1">
      <c r="A9" s="142" t="s">
        <v>77</v>
      </c>
      <c r="B9" s="143"/>
      <c r="C9" s="144" t="s">
        <v>42</v>
      </c>
      <c r="D9" s="220">
        <v>607493158</v>
      </c>
      <c r="E9" s="220">
        <v>29132503</v>
      </c>
      <c r="F9" s="124">
        <f t="shared" si="0"/>
        <v>636625661</v>
      </c>
      <c r="G9" s="124">
        <f>+aoe_2021!G11</f>
        <v>702555880</v>
      </c>
      <c r="H9" s="124">
        <f>+aoe_2021!H11</f>
        <v>32313307</v>
      </c>
      <c r="I9" s="124">
        <f>+aoe_2021!I11</f>
        <v>23545675.08948644</v>
      </c>
      <c r="J9" s="124">
        <f>+aoe_2020!G11</f>
        <v>753688702</v>
      </c>
      <c r="K9" s="124">
        <f>+aoe_2020!H11</f>
        <v>29609539</v>
      </c>
      <c r="L9" s="124">
        <f>+aoe_2020!I11</f>
        <v>26147568.3111962</v>
      </c>
      <c r="M9" s="125">
        <f aca="true" t="shared" si="2" ref="M9:M43">SUM(G9:L9)</f>
        <v>1567860671.4006827</v>
      </c>
      <c r="N9" s="125">
        <f aca="true" t="shared" si="3" ref="N9:N43">+M9/2</f>
        <v>783930335.7003413</v>
      </c>
      <c r="O9" s="179">
        <f t="shared" si="1"/>
        <v>1.2313835016781414</v>
      </c>
      <c r="P9" s="280"/>
      <c r="Q9" s="104"/>
      <c r="R9" s="104"/>
      <c r="S9" s="287">
        <f aca="true" t="shared" si="4" ref="S9:S30">+O9*F9</f>
        <v>783930335.7003413</v>
      </c>
      <c r="T9" s="58" t="str">
        <f>+C9</f>
        <v>ALLIED LINES</v>
      </c>
      <c r="U9" s="59">
        <f>SUM(G9:L9)</f>
        <v>1567860671.4006827</v>
      </c>
      <c r="V9" s="59">
        <f>+F9</f>
        <v>636625661</v>
      </c>
      <c r="W9" s="57"/>
      <c r="X9" s="55"/>
      <c r="Y9" s="55"/>
      <c r="Z9" s="55"/>
      <c r="AB9"/>
      <c r="AD9" s="289"/>
    </row>
    <row r="10" spans="1:30" ht="11.25" customHeight="1">
      <c r="A10" s="142" t="s">
        <v>180</v>
      </c>
      <c r="B10" s="143"/>
      <c r="C10" s="144" t="s">
        <v>181</v>
      </c>
      <c r="D10" s="220">
        <v>10344706</v>
      </c>
      <c r="E10" s="220">
        <v>467331</v>
      </c>
      <c r="F10" s="124">
        <f t="shared" si="0"/>
        <v>10812037</v>
      </c>
      <c r="G10" s="124">
        <f>+aoe_2021!G12</f>
        <v>13428836</v>
      </c>
      <c r="H10" s="124">
        <f>+aoe_2021!H12</f>
        <v>455678</v>
      </c>
      <c r="I10" s="124">
        <f>+aoe_2021!I12</f>
        <v>85334.93456328541</v>
      </c>
      <c r="J10" s="124">
        <f>+aoe_2020!G12</f>
        <v>5380786</v>
      </c>
      <c r="K10" s="124">
        <f>+aoe_2020!H12</f>
        <v>4</v>
      </c>
      <c r="L10" s="124">
        <f>+aoe_2020!I12</f>
        <v>92741.02379232192</v>
      </c>
      <c r="M10" s="125">
        <f>SUM(G10:L10)</f>
        <v>19443379.95835561</v>
      </c>
      <c r="N10" s="125">
        <f>+M10/2</f>
        <v>9721689.979177805</v>
      </c>
      <c r="O10" s="179">
        <f t="shared" si="1"/>
        <v>0.8991543387409611</v>
      </c>
      <c r="P10" s="280"/>
      <c r="Q10" s="104"/>
      <c r="R10" s="104"/>
      <c r="S10" s="287">
        <f t="shared" si="4"/>
        <v>9721689.979177805</v>
      </c>
      <c r="T10" s="58"/>
      <c r="U10" s="59"/>
      <c r="V10" s="59"/>
      <c r="W10" s="57"/>
      <c r="X10" s="55"/>
      <c r="Y10" s="55"/>
      <c r="Z10" s="55"/>
      <c r="AB10"/>
      <c r="AD10" s="289"/>
    </row>
    <row r="11" spans="1:30" ht="11.25" customHeight="1">
      <c r="A11" s="142" t="s">
        <v>182</v>
      </c>
      <c r="B11" s="143"/>
      <c r="C11" s="144" t="s">
        <v>183</v>
      </c>
      <c r="D11" s="220">
        <v>8192022</v>
      </c>
      <c r="E11" s="220">
        <v>1253978</v>
      </c>
      <c r="F11" s="124">
        <f t="shared" si="0"/>
        <v>9446000</v>
      </c>
      <c r="G11" s="124">
        <f>+aoe_2021!G13</f>
        <v>22291581</v>
      </c>
      <c r="H11" s="124">
        <f>+aoe_2021!H13</f>
        <v>568229</v>
      </c>
      <c r="I11" s="124">
        <f>+aoe_2021!I13</f>
        <v>372478.98338876455</v>
      </c>
      <c r="J11" s="124">
        <f>+aoe_2020!G13</f>
        <v>23548405</v>
      </c>
      <c r="K11" s="124">
        <f>+aoe_2020!H13</f>
        <v>583331</v>
      </c>
      <c r="L11" s="124">
        <f>+aoe_2020!I13</f>
        <v>411253.0634964073</v>
      </c>
      <c r="M11" s="125">
        <f>SUM(G11:L11)</f>
        <v>47775278.04688518</v>
      </c>
      <c r="N11" s="125">
        <f>+M11/2</f>
        <v>23887639.02344259</v>
      </c>
      <c r="O11" s="179">
        <f t="shared" si="1"/>
        <v>2.5288629074150526</v>
      </c>
      <c r="P11" s="280"/>
      <c r="Q11" s="104"/>
      <c r="R11" s="104"/>
      <c r="S11" s="287">
        <f t="shared" si="4"/>
        <v>23887639.023442585</v>
      </c>
      <c r="T11" s="58"/>
      <c r="U11" s="59"/>
      <c r="V11" s="59"/>
      <c r="W11" s="57"/>
      <c r="X11" s="55"/>
      <c r="Y11" s="55"/>
      <c r="Z11" s="55"/>
      <c r="AB11"/>
      <c r="AD11" s="289"/>
    </row>
    <row r="12" spans="1:30" ht="11.25" customHeight="1">
      <c r="A12" s="142" t="s">
        <v>78</v>
      </c>
      <c r="B12" s="143"/>
      <c r="C12" s="144" t="s">
        <v>43</v>
      </c>
      <c r="D12" s="220">
        <v>71828866</v>
      </c>
      <c r="E12" s="220">
        <v>7130411</v>
      </c>
      <c r="F12" s="124">
        <f t="shared" si="0"/>
        <v>78959277</v>
      </c>
      <c r="G12" s="124">
        <f>+aoe_2021!G14</f>
        <v>157885042</v>
      </c>
      <c r="H12" s="124">
        <f>+aoe_2021!H14</f>
        <v>23991407</v>
      </c>
      <c r="I12" s="124">
        <f>+aoe_2021!I14</f>
        <v>10980092.517119935</v>
      </c>
      <c r="J12" s="124">
        <f>+aoe_2020!G14</f>
        <v>213492499</v>
      </c>
      <c r="K12" s="124">
        <f>+aoe_2020!H14</f>
        <v>25828094</v>
      </c>
      <c r="L12" s="124">
        <f>+aoe_2020!I14</f>
        <v>13911822.968464166</v>
      </c>
      <c r="M12" s="125">
        <f t="shared" si="2"/>
        <v>446088957.48558414</v>
      </c>
      <c r="N12" s="125">
        <f t="shared" si="3"/>
        <v>223044478.74279207</v>
      </c>
      <c r="O12" s="179">
        <f t="shared" si="1"/>
        <v>2.824803964995678</v>
      </c>
      <c r="P12" s="280"/>
      <c r="Q12" s="104"/>
      <c r="R12" s="104"/>
      <c r="S12" s="287">
        <f t="shared" si="4"/>
        <v>223044478.74279207</v>
      </c>
      <c r="T12" s="58"/>
      <c r="U12" s="57"/>
      <c r="V12" s="57"/>
      <c r="W12" s="57"/>
      <c r="X12" s="55"/>
      <c r="Y12" s="55"/>
      <c r="Z12" s="55"/>
      <c r="AB12"/>
      <c r="AD12" s="289"/>
    </row>
    <row r="13" spans="1:30" ht="11.25" customHeight="1">
      <c r="A13" s="142" t="s">
        <v>79</v>
      </c>
      <c r="B13" s="143"/>
      <c r="C13" s="144" t="s">
        <v>44</v>
      </c>
      <c r="D13" s="220">
        <v>4532835068</v>
      </c>
      <c r="E13" s="220">
        <v>270887358</v>
      </c>
      <c r="F13" s="124">
        <f t="shared" si="0"/>
        <v>4803722426</v>
      </c>
      <c r="G13" s="124">
        <f>+aoe_2021!G15</f>
        <v>4915031483</v>
      </c>
      <c r="H13" s="124">
        <f>+aoe_2021!H15</f>
        <v>391876252</v>
      </c>
      <c r="I13" s="124">
        <f>+aoe_2021!I15</f>
        <v>499201606.7007589</v>
      </c>
      <c r="J13" s="124">
        <f>+aoe_2020!G15</f>
        <v>5655536229</v>
      </c>
      <c r="K13" s="124">
        <f>+aoe_2020!H15</f>
        <v>403188704</v>
      </c>
      <c r="L13" s="124">
        <f>+aoe_2020!I15</f>
        <v>634543599.7978303</v>
      </c>
      <c r="M13" s="125">
        <f t="shared" si="2"/>
        <v>12499377874.49859</v>
      </c>
      <c r="N13" s="125">
        <f t="shared" si="3"/>
        <v>6249688937.249295</v>
      </c>
      <c r="O13" s="179">
        <f t="shared" si="1"/>
        <v>1.3010095886105004</v>
      </c>
      <c r="P13" s="280"/>
      <c r="Q13" s="104"/>
      <c r="R13" s="104"/>
      <c r="S13" s="287">
        <f t="shared" si="4"/>
        <v>6249688937.249295</v>
      </c>
      <c r="T13" s="58"/>
      <c r="U13" s="57"/>
      <c r="V13" s="57"/>
      <c r="W13" s="57"/>
      <c r="X13" s="55"/>
      <c r="Y13" s="55"/>
      <c r="Z13" s="55"/>
      <c r="AB13"/>
      <c r="AD13" s="289"/>
    </row>
    <row r="14" spans="1:30" ht="11.25" customHeight="1">
      <c r="A14" s="142" t="s">
        <v>142</v>
      </c>
      <c r="B14" s="143"/>
      <c r="C14" s="144" t="s">
        <v>141</v>
      </c>
      <c r="D14" s="124">
        <f>+D15+D16</f>
        <v>3006997996</v>
      </c>
      <c r="E14" s="124">
        <f>+E15+E16</f>
        <v>441114504</v>
      </c>
      <c r="F14" s="124">
        <f t="shared" si="0"/>
        <v>3448112500</v>
      </c>
      <c r="G14" s="124">
        <f>+aoe_2021!G16</f>
        <v>5490985956</v>
      </c>
      <c r="H14" s="124">
        <f>+aoe_2021!H16</f>
        <v>1345409612</v>
      </c>
      <c r="I14" s="124">
        <f>+aoe_2021!I16</f>
        <v>334183487.0553728</v>
      </c>
      <c r="J14" s="124">
        <f>+aoe_2020!G16</f>
        <v>5201767749</v>
      </c>
      <c r="K14" s="124">
        <f>+aoe_2020!H16</f>
        <v>1357201889</v>
      </c>
      <c r="L14" s="124">
        <f>+aoe_2020!I16</f>
        <v>323136274.85466063</v>
      </c>
      <c r="M14" s="125">
        <f t="shared" si="2"/>
        <v>14052684967.910034</v>
      </c>
      <c r="N14" s="125">
        <f t="shared" si="3"/>
        <v>7026342483.955017</v>
      </c>
      <c r="O14" s="179">
        <f t="shared" si="1"/>
        <v>2.0377358580832317</v>
      </c>
      <c r="P14" s="280"/>
      <c r="Q14" s="104"/>
      <c r="R14" s="104"/>
      <c r="S14" s="287">
        <f t="shared" si="4"/>
        <v>7026342483.955017</v>
      </c>
      <c r="T14" s="58"/>
      <c r="U14" s="57"/>
      <c r="V14" s="57"/>
      <c r="W14" s="57"/>
      <c r="X14" s="55"/>
      <c r="Y14" s="55"/>
      <c r="Z14" s="55"/>
      <c r="AB14"/>
      <c r="AD14" s="289"/>
    </row>
    <row r="15" spans="1:30" ht="11.25" customHeight="1">
      <c r="A15" s="142" t="s">
        <v>80</v>
      </c>
      <c r="B15" s="143"/>
      <c r="C15" s="145" t="s">
        <v>170</v>
      </c>
      <c r="D15" s="220">
        <v>1860133775</v>
      </c>
      <c r="E15" s="220">
        <v>57238950</v>
      </c>
      <c r="F15" s="124">
        <f t="shared" si="0"/>
        <v>1917372725</v>
      </c>
      <c r="G15" s="124">
        <f>+aoe_2021!G17</f>
        <v>1745793557</v>
      </c>
      <c r="H15" s="124">
        <f>+aoe_2021!H17</f>
        <v>143388445</v>
      </c>
      <c r="I15" s="124">
        <f>+aoe_2021!I17</f>
        <v>103043592.85906373</v>
      </c>
      <c r="J15" s="124">
        <f>+aoe_2020!G17</f>
        <v>1662584480</v>
      </c>
      <c r="K15" s="124">
        <f>+aoe_2020!H17</f>
        <v>147059659</v>
      </c>
      <c r="L15" s="124">
        <f>+aoe_2020!I17</f>
        <v>106349901.05210833</v>
      </c>
      <c r="M15" s="125">
        <f t="shared" si="2"/>
        <v>3908219634.911172</v>
      </c>
      <c r="N15" s="125">
        <f t="shared" si="3"/>
        <v>1954109817.455586</v>
      </c>
      <c r="O15" s="179">
        <f t="shared" si="1"/>
        <v>1.0191601205006116</v>
      </c>
      <c r="P15" s="280"/>
      <c r="Q15" s="104"/>
      <c r="R15" s="104"/>
      <c r="S15" s="287">
        <f t="shared" si="4"/>
        <v>1954109817.455586</v>
      </c>
      <c r="T15" s="58"/>
      <c r="U15" s="57"/>
      <c r="V15" s="57"/>
      <c r="W15" s="57"/>
      <c r="X15" s="55"/>
      <c r="Y15" s="55"/>
      <c r="Z15" s="55"/>
      <c r="AB15"/>
      <c r="AD15" s="289"/>
    </row>
    <row r="16" spans="1:30" ht="11.25" customHeight="1">
      <c r="A16" s="142" t="s">
        <v>81</v>
      </c>
      <c r="B16" s="143"/>
      <c r="C16" s="145" t="s">
        <v>171</v>
      </c>
      <c r="D16" s="220">
        <v>1146864221</v>
      </c>
      <c r="E16" s="220">
        <v>383875554</v>
      </c>
      <c r="F16" s="124">
        <f t="shared" si="0"/>
        <v>1530739775</v>
      </c>
      <c r="G16" s="124">
        <f>+aoe_2021!G18</f>
        <v>3745192399</v>
      </c>
      <c r="H16" s="124">
        <f>+aoe_2021!H18</f>
        <v>1202021167</v>
      </c>
      <c r="I16" s="124">
        <f>+aoe_2021!I18</f>
        <v>229138793.77848303</v>
      </c>
      <c r="J16" s="124">
        <f>+aoe_2020!G18</f>
        <v>3539183269</v>
      </c>
      <c r="K16" s="124">
        <f>+aoe_2020!H18</f>
        <v>1210142230</v>
      </c>
      <c r="L16" s="124">
        <f>+aoe_2020!I18</f>
        <v>214905775.92190698</v>
      </c>
      <c r="M16" s="125">
        <f t="shared" si="2"/>
        <v>10140583634.700392</v>
      </c>
      <c r="N16" s="125">
        <f t="shared" si="3"/>
        <v>5070291817.350196</v>
      </c>
      <c r="O16" s="179">
        <f t="shared" si="1"/>
        <v>3.3123146730476747</v>
      </c>
      <c r="P16" s="281"/>
      <c r="Q16" s="104"/>
      <c r="R16" s="104"/>
      <c r="S16" s="287">
        <f t="shared" si="4"/>
        <v>5070291817.350196</v>
      </c>
      <c r="T16" s="58"/>
      <c r="U16" s="57"/>
      <c r="V16" s="57"/>
      <c r="W16" s="57"/>
      <c r="X16" s="55"/>
      <c r="Y16" s="55"/>
      <c r="Z16" s="55"/>
      <c r="AB16"/>
      <c r="AD16" s="289"/>
    </row>
    <row r="17" spans="1:30" ht="11.25" customHeight="1">
      <c r="A17" s="142" t="s">
        <v>85</v>
      </c>
      <c r="B17" s="143"/>
      <c r="C17" s="144" t="s">
        <v>48</v>
      </c>
      <c r="D17" s="220">
        <v>1753533401</v>
      </c>
      <c r="E17" s="220">
        <v>68604882</v>
      </c>
      <c r="F17" s="124">
        <f t="shared" si="0"/>
        <v>1822138283</v>
      </c>
      <c r="G17" s="124">
        <f>+aoe_2021!G19</f>
        <v>962523691</v>
      </c>
      <c r="H17" s="124">
        <f>+aoe_2021!H19</f>
        <v>59059446</v>
      </c>
      <c r="I17" s="124">
        <f>+aoe_2021!I19</f>
        <v>49978030.422889166</v>
      </c>
      <c r="J17" s="124">
        <f>+aoe_2020!G19</f>
        <v>1043342911</v>
      </c>
      <c r="K17" s="124">
        <f>+aoe_2020!H19</f>
        <v>50723016</v>
      </c>
      <c r="L17" s="124">
        <f>+aoe_2020!I19</f>
        <v>49008495.990168564</v>
      </c>
      <c r="M17" s="125">
        <f t="shared" si="2"/>
        <v>2214635590.413058</v>
      </c>
      <c r="N17" s="125">
        <f t="shared" si="3"/>
        <v>1107317795.206529</v>
      </c>
      <c r="O17" s="179">
        <f t="shared" si="1"/>
        <v>0.6077023931374855</v>
      </c>
      <c r="P17" s="280"/>
      <c r="Q17" s="104"/>
      <c r="R17" s="104"/>
      <c r="S17" s="287">
        <f t="shared" si="4"/>
        <v>1107317795.206529</v>
      </c>
      <c r="T17" s="58" t="str">
        <f>+C17</f>
        <v>INLAND MRN</v>
      </c>
      <c r="U17" s="59">
        <f>SUM(G17:L17)</f>
        <v>2214635590.413058</v>
      </c>
      <c r="V17" s="59">
        <f>+F17</f>
        <v>1822138283</v>
      </c>
      <c r="W17" s="57"/>
      <c r="X17" s="55"/>
      <c r="Y17" s="55"/>
      <c r="Z17" s="55"/>
      <c r="AB17"/>
      <c r="AD17" s="289"/>
    </row>
    <row r="18" spans="1:30" ht="11.25" customHeight="1">
      <c r="A18" s="142" t="s">
        <v>87</v>
      </c>
      <c r="B18" s="143"/>
      <c r="C18" s="144" t="s">
        <v>158</v>
      </c>
      <c r="D18" s="220">
        <v>478558173</v>
      </c>
      <c r="E18" s="220">
        <v>224297589</v>
      </c>
      <c r="F18" s="124">
        <f t="shared" si="0"/>
        <v>702855762</v>
      </c>
      <c r="G18" s="124">
        <f>+aoe_2021!G20</f>
        <v>1612021442</v>
      </c>
      <c r="H18" s="124">
        <f>+aoe_2021!H20</f>
        <v>536121703</v>
      </c>
      <c r="I18" s="124">
        <f>+aoe_2021!I20</f>
        <v>1114373268.0707896</v>
      </c>
      <c r="J18" s="124">
        <f>+aoe_2020!G20</f>
        <v>1459190328</v>
      </c>
      <c r="K18" s="124">
        <f>+aoe_2020!H20</f>
        <v>485169999</v>
      </c>
      <c r="L18" s="124">
        <f>+aoe_2020!I20</f>
        <v>78027556.29346192</v>
      </c>
      <c r="M18" s="125">
        <f t="shared" si="2"/>
        <v>5284904296.364251</v>
      </c>
      <c r="N18" s="125">
        <f t="shared" si="3"/>
        <v>2642452148.1821256</v>
      </c>
      <c r="O18" s="179">
        <f t="shared" si="1"/>
        <v>3.7595937759163247</v>
      </c>
      <c r="P18" s="280"/>
      <c r="Q18" s="105">
        <f>SUM(Q19:Q20)</f>
        <v>5396699</v>
      </c>
      <c r="R18" s="104"/>
      <c r="S18" s="287">
        <f t="shared" si="4"/>
        <v>2642452148.1821256</v>
      </c>
      <c r="T18" s="58"/>
      <c r="U18" s="57"/>
      <c r="V18" s="57"/>
      <c r="W18" s="57"/>
      <c r="X18" s="55"/>
      <c r="Y18" s="55"/>
      <c r="Z18" s="55"/>
      <c r="AB18"/>
      <c r="AD18" s="289"/>
    </row>
    <row r="19" spans="1:30" ht="11.25" customHeight="1">
      <c r="A19" s="142" t="s">
        <v>135</v>
      </c>
      <c r="B19" s="143"/>
      <c r="C19" s="145" t="s">
        <v>165</v>
      </c>
      <c r="D19" s="124">
        <f>+$R$19*D18</f>
        <v>110369012.13485558</v>
      </c>
      <c r="E19" s="124">
        <f>+$R$19*E18</f>
        <v>51729350.1999387</v>
      </c>
      <c r="F19" s="124">
        <f t="shared" si="0"/>
        <v>162098362.33479428</v>
      </c>
      <c r="G19" s="124">
        <f>+aoe_2021!G21</f>
        <v>553364397.8047899</v>
      </c>
      <c r="H19" s="124">
        <f>+aoe_2021!H21</f>
        <v>184036425.07546335</v>
      </c>
      <c r="I19" s="124">
        <f>+aoe_2021!I21</f>
        <v>382534919.41811794</v>
      </c>
      <c r="J19" s="124">
        <f>+aoe_2020!G21</f>
        <v>520983820.0452468</v>
      </c>
      <c r="K19" s="124">
        <f>+aoe_2020!H21</f>
        <v>173223269.5078339</v>
      </c>
      <c r="L19" s="124">
        <f>+aoe_2020!I21</f>
        <v>27858664.881832555</v>
      </c>
      <c r="M19" s="125">
        <f t="shared" si="2"/>
        <v>1842001496.7332847</v>
      </c>
      <c r="N19" s="125">
        <f t="shared" si="3"/>
        <v>921000748.3666424</v>
      </c>
      <c r="O19" s="179">
        <f t="shared" si="1"/>
        <v>5.681739994784329</v>
      </c>
      <c r="P19" s="280"/>
      <c r="Q19" s="221">
        <v>1244631</v>
      </c>
      <c r="R19" s="107">
        <f>+Q19/Q18</f>
        <v>0.23062820438938691</v>
      </c>
      <c r="S19" s="287">
        <f t="shared" si="4"/>
        <v>921000748.3666424</v>
      </c>
      <c r="T19" s="58"/>
      <c r="U19" s="57"/>
      <c r="V19" s="57"/>
      <c r="W19" s="57"/>
      <c r="X19" s="55"/>
      <c r="Y19" s="55"/>
      <c r="Z19" s="55"/>
      <c r="AB19"/>
      <c r="AD19" s="289"/>
    </row>
    <row r="20" spans="1:30" ht="11.25" customHeight="1">
      <c r="A20" s="142" t="s">
        <v>136</v>
      </c>
      <c r="B20" s="143"/>
      <c r="C20" s="145" t="s">
        <v>172</v>
      </c>
      <c r="D20" s="124">
        <f>+$R$20*D18</f>
        <v>368189160.86514443</v>
      </c>
      <c r="E20" s="124">
        <f>+$R$20*E18</f>
        <v>172568238.8000613</v>
      </c>
      <c r="F20" s="124">
        <f t="shared" si="0"/>
        <v>540757399.6652057</v>
      </c>
      <c r="G20" s="124">
        <f>+aoe_2021!G22</f>
        <v>1058657044.1952101</v>
      </c>
      <c r="H20" s="124">
        <f>+aoe_2021!H22</f>
        <v>352085277.9245366</v>
      </c>
      <c r="I20" s="124">
        <f>+aoe_2021!I22</f>
        <v>731838348.6526717</v>
      </c>
      <c r="J20" s="124">
        <f>+aoe_2020!G22</f>
        <v>938206507.9547533</v>
      </c>
      <c r="K20" s="124">
        <f>+aoe_2020!H22</f>
        <v>311946729.4921661</v>
      </c>
      <c r="L20" s="124">
        <f>+aoe_2020!I22</f>
        <v>50168891.41162937</v>
      </c>
      <c r="M20" s="125">
        <f t="shared" si="2"/>
        <v>3442902799.630967</v>
      </c>
      <c r="N20" s="125">
        <f t="shared" si="3"/>
        <v>1721451399.8154836</v>
      </c>
      <c r="O20" s="179">
        <f t="shared" si="1"/>
        <v>3.183407940198822</v>
      </c>
      <c r="P20" s="280"/>
      <c r="Q20" s="221">
        <v>4152068</v>
      </c>
      <c r="R20" s="107">
        <f>+Q20/Q18</f>
        <v>0.7693717956106131</v>
      </c>
      <c r="S20" s="287">
        <f t="shared" si="4"/>
        <v>1721451399.8154836</v>
      </c>
      <c r="T20" s="58"/>
      <c r="U20" s="57"/>
      <c r="V20" s="57"/>
      <c r="W20" s="57"/>
      <c r="X20" s="55"/>
      <c r="Y20" s="55"/>
      <c r="Z20" s="55"/>
      <c r="AB20"/>
      <c r="AD20" s="289"/>
    </row>
    <row r="21" spans="1:30" ht="11.25" customHeight="1">
      <c r="A21" s="142" t="s">
        <v>88</v>
      </c>
      <c r="B21" s="143"/>
      <c r="C21" s="144" t="s">
        <v>164</v>
      </c>
      <c r="D21" s="220">
        <v>1377179</v>
      </c>
      <c r="E21" s="220">
        <v>191955</v>
      </c>
      <c r="F21" s="124">
        <f t="shared" si="0"/>
        <v>1569134</v>
      </c>
      <c r="G21" s="124">
        <f>+aoe_2021!G23</f>
        <v>64402713</v>
      </c>
      <c r="H21" s="124">
        <f>+aoe_2021!H23</f>
        <v>4701725</v>
      </c>
      <c r="I21" s="124">
        <f>+aoe_2021!I23</f>
        <v>1870838.4508745903</v>
      </c>
      <c r="J21" s="124">
        <f>+aoe_2020!G23</f>
        <v>64851003</v>
      </c>
      <c r="K21" s="124">
        <f>+aoe_2020!H23</f>
        <v>5017033</v>
      </c>
      <c r="L21" s="124">
        <f>+aoe_2020!I23</f>
        <v>4647649.996260404</v>
      </c>
      <c r="M21" s="125">
        <f t="shared" si="2"/>
        <v>145490962.447135</v>
      </c>
      <c r="N21" s="125">
        <f t="shared" si="3"/>
        <v>72745481.2235675</v>
      </c>
      <c r="O21" s="311">
        <v>1</v>
      </c>
      <c r="P21" s="281" t="s">
        <v>161</v>
      </c>
      <c r="Q21" s="106"/>
      <c r="R21" s="104"/>
      <c r="S21" s="287">
        <f t="shared" si="4"/>
        <v>1569134</v>
      </c>
      <c r="T21" s="58"/>
      <c r="U21" s="57"/>
      <c r="V21" s="57"/>
      <c r="W21" s="57"/>
      <c r="X21" s="55"/>
      <c r="Y21" s="55"/>
      <c r="Z21" s="55"/>
      <c r="AB21"/>
      <c r="AD21" s="289"/>
    </row>
    <row r="22" spans="1:30" ht="11.25" customHeight="1">
      <c r="A22" s="142" t="s">
        <v>89</v>
      </c>
      <c r="B22" s="143"/>
      <c r="C22" s="144" t="s">
        <v>52</v>
      </c>
      <c r="D22" s="124">
        <f>+D23+D24</f>
        <v>8760580926</v>
      </c>
      <c r="E22" s="124">
        <f>+E23+E24</f>
        <v>1648874727</v>
      </c>
      <c r="F22" s="124">
        <f t="shared" si="0"/>
        <v>10409455653</v>
      </c>
      <c r="G22" s="124">
        <f>+aoe_2021!G24</f>
        <v>26402392773</v>
      </c>
      <c r="H22" s="124">
        <f>+aoe_2021!H24</f>
        <v>4703365922</v>
      </c>
      <c r="I22" s="124">
        <f>+aoe_2021!I24</f>
        <v>1334248357.3136554</v>
      </c>
      <c r="J22" s="124">
        <f>+aoe_2020!G24</f>
        <v>22769407043</v>
      </c>
      <c r="K22" s="124">
        <f>+aoe_2020!H24</f>
        <v>4291089924</v>
      </c>
      <c r="L22" s="124">
        <f>+aoe_2020!I24</f>
        <v>1107277468.197669</v>
      </c>
      <c r="M22" s="125">
        <f t="shared" si="2"/>
        <v>60607781487.51133</v>
      </c>
      <c r="N22" s="125">
        <f t="shared" si="3"/>
        <v>30303890743.755665</v>
      </c>
      <c r="O22" s="179">
        <f aca="true" t="shared" si="5" ref="O22:O41">0.5*SUM(G22:L22)/F22</f>
        <v>2.9111888031361275</v>
      </c>
      <c r="P22" s="282"/>
      <c r="Q22" s="105"/>
      <c r="R22" s="104"/>
      <c r="S22" s="287">
        <f t="shared" si="4"/>
        <v>30303890743.755665</v>
      </c>
      <c r="T22" s="58"/>
      <c r="U22" s="57"/>
      <c r="V22" s="57"/>
      <c r="W22" s="57"/>
      <c r="X22" s="55"/>
      <c r="Y22" s="55"/>
      <c r="Z22" s="55"/>
      <c r="AB22"/>
      <c r="AD22" s="289"/>
    </row>
    <row r="23" spans="1:30" ht="11.25" customHeight="1">
      <c r="A23" s="142" t="s">
        <v>137</v>
      </c>
      <c r="B23" s="143"/>
      <c r="C23" s="145" t="s">
        <v>166</v>
      </c>
      <c r="D23" s="220">
        <v>4961361125</v>
      </c>
      <c r="E23" s="220">
        <v>823755856</v>
      </c>
      <c r="F23" s="124">
        <f t="shared" si="0"/>
        <v>5785116981</v>
      </c>
      <c r="G23" s="124">
        <f>+aoe_2021!G25</f>
        <v>16672903585</v>
      </c>
      <c r="H23" s="124">
        <f>+aoe_2021!H25</f>
        <v>2845657308</v>
      </c>
      <c r="I23" s="124">
        <f>+aoe_2021!I25</f>
        <v>871197544.4673674</v>
      </c>
      <c r="J23" s="124">
        <f>+aoe_2020!G25</f>
        <v>14912204059</v>
      </c>
      <c r="K23" s="124">
        <f>+aoe_2020!H25</f>
        <v>2676588582</v>
      </c>
      <c r="L23" s="124">
        <f>+aoe_2020!I25</f>
        <v>742048769.9428351</v>
      </c>
      <c r="M23" s="125">
        <f t="shared" si="2"/>
        <v>38720599848.4102</v>
      </c>
      <c r="N23" s="125">
        <f t="shared" si="3"/>
        <v>19360299924.2051</v>
      </c>
      <c r="O23" s="179">
        <f t="shared" si="5"/>
        <v>3.3465701709731945</v>
      </c>
      <c r="P23" s="280"/>
      <c r="Q23" s="106"/>
      <c r="R23" s="107"/>
      <c r="S23" s="287">
        <f t="shared" si="4"/>
        <v>19360299924.2051</v>
      </c>
      <c r="T23" s="58"/>
      <c r="U23" s="57"/>
      <c r="V23" s="57"/>
      <c r="W23" s="57"/>
      <c r="X23" s="55"/>
      <c r="Y23" s="55"/>
      <c r="Z23" s="55"/>
      <c r="AB23"/>
      <c r="AD23" s="289"/>
    </row>
    <row r="24" spans="1:30" ht="11.25" customHeight="1">
      <c r="A24" s="142" t="s">
        <v>159</v>
      </c>
      <c r="B24" s="143"/>
      <c r="C24" s="145" t="s">
        <v>167</v>
      </c>
      <c r="D24" s="220">
        <v>3799219801</v>
      </c>
      <c r="E24" s="220">
        <v>825118871</v>
      </c>
      <c r="F24" s="124">
        <f t="shared" si="0"/>
        <v>4624338672</v>
      </c>
      <c r="G24" s="124">
        <f>+aoe_2021!G26</f>
        <v>9729489188</v>
      </c>
      <c r="H24" s="124">
        <f>+aoe_2021!H26</f>
        <v>1857708614</v>
      </c>
      <c r="I24" s="124">
        <f>+aoe_2021!I26</f>
        <v>453679160.09406</v>
      </c>
      <c r="J24" s="124">
        <f>+aoe_2020!G26</f>
        <v>7857202984</v>
      </c>
      <c r="K24" s="124">
        <f>+aoe_2020!H26</f>
        <v>1614501342</v>
      </c>
      <c r="L24" s="124">
        <f>+aoe_2020!I26</f>
        <v>360186672.76993287</v>
      </c>
      <c r="M24" s="125">
        <f t="shared" si="2"/>
        <v>21872767960.863995</v>
      </c>
      <c r="N24" s="125">
        <f t="shared" si="3"/>
        <v>10936383980.431997</v>
      </c>
      <c r="O24" s="179">
        <f t="shared" si="5"/>
        <v>2.364961728830746</v>
      </c>
      <c r="P24" s="280"/>
      <c r="Q24" s="106"/>
      <c r="R24" s="107"/>
      <c r="S24" s="287">
        <f t="shared" si="4"/>
        <v>10936383980.431997</v>
      </c>
      <c r="T24" s="58"/>
      <c r="U24" s="57"/>
      <c r="V24" s="57"/>
      <c r="W24" s="57"/>
      <c r="X24" s="55"/>
      <c r="Y24" s="55"/>
      <c r="Z24" s="55"/>
      <c r="AB24"/>
      <c r="AD24" s="289"/>
    </row>
    <row r="25" spans="1:30" ht="11.25" customHeight="1">
      <c r="A25" s="142" t="s">
        <v>90</v>
      </c>
      <c r="B25" s="143"/>
      <c r="C25" s="144" t="s">
        <v>53</v>
      </c>
      <c r="D25" s="220">
        <v>342854697</v>
      </c>
      <c r="E25" s="220">
        <v>153698400</v>
      </c>
      <c r="F25" s="124">
        <f t="shared" si="0"/>
        <v>496553097</v>
      </c>
      <c r="G25" s="124">
        <f>+aoe_2021!G27</f>
        <v>1668560813</v>
      </c>
      <c r="H25" s="124">
        <f>+aoe_2021!H27</f>
        <v>693376793</v>
      </c>
      <c r="I25" s="124">
        <f>+aoe_2021!I27</f>
        <v>139821933.1235506</v>
      </c>
      <c r="J25" s="124">
        <f>+aoe_2020!G27</f>
        <v>1535614160</v>
      </c>
      <c r="K25" s="124">
        <f>+aoe_2020!H27</f>
        <v>687641067</v>
      </c>
      <c r="L25" s="124">
        <f>+aoe_2020!I27</f>
        <v>129088278.04524729</v>
      </c>
      <c r="M25" s="125">
        <f t="shared" si="2"/>
        <v>4854103044.1687975</v>
      </c>
      <c r="N25" s="125">
        <f t="shared" si="3"/>
        <v>2427051522.0843987</v>
      </c>
      <c r="O25" s="179">
        <f t="shared" si="5"/>
        <v>4.8877985793418555</v>
      </c>
      <c r="P25" s="282"/>
      <c r="Q25" s="105">
        <f>SUM(Q26:Q27)</f>
        <v>1530225</v>
      </c>
      <c r="R25" s="104"/>
      <c r="S25" s="287">
        <f t="shared" si="4"/>
        <v>2427051522.0843987</v>
      </c>
      <c r="T25" s="58"/>
      <c r="U25" s="57"/>
      <c r="V25" s="57"/>
      <c r="W25" s="57"/>
      <c r="X25" s="55"/>
      <c r="Y25" s="55"/>
      <c r="Z25" s="55"/>
      <c r="AB25"/>
      <c r="AD25" s="289"/>
    </row>
    <row r="26" spans="1:30" ht="11.25" customHeight="1">
      <c r="A26" s="142" t="s">
        <v>138</v>
      </c>
      <c r="B26" s="143"/>
      <c r="C26" s="145" t="s">
        <v>168</v>
      </c>
      <c r="D26" s="124">
        <f>+$R$26*D25</f>
        <v>305248394.81354505</v>
      </c>
      <c r="E26" s="124">
        <f>+$R$26*E25</f>
        <v>136839863.34715483</v>
      </c>
      <c r="F26" s="124">
        <f t="shared" si="0"/>
        <v>442088258.16069984</v>
      </c>
      <c r="G26" s="124">
        <f>+aoe_2021!G28</f>
        <v>1493795432.2767081</v>
      </c>
      <c r="H26" s="124">
        <f>+aoe_2021!H28</f>
        <v>620752374.2379011</v>
      </c>
      <c r="I26" s="124">
        <f>+aoe_2021!I28</f>
        <v>125176956.93483798</v>
      </c>
      <c r="J26" s="124">
        <f>+aoe_2020!G28</f>
        <v>1384354404.3388925</v>
      </c>
      <c r="K26" s="124">
        <f>+aoe_2020!H28</f>
        <v>619907633.3769581</v>
      </c>
      <c r="L26" s="124">
        <f>+aoe_2020!I28</f>
        <v>116372934.6312238</v>
      </c>
      <c r="M26" s="125">
        <f t="shared" si="2"/>
        <v>4360359735.796521</v>
      </c>
      <c r="N26" s="125">
        <f t="shared" si="3"/>
        <v>2180179867.8982606</v>
      </c>
      <c r="O26" s="179">
        <f t="shared" si="5"/>
        <v>4.931548910547543</v>
      </c>
      <c r="P26" s="282"/>
      <c r="Q26" s="221">
        <v>1362381</v>
      </c>
      <c r="R26" s="107">
        <f>+Q26/Q25</f>
        <v>0.8903141694848796</v>
      </c>
      <c r="S26" s="287">
        <f t="shared" si="4"/>
        <v>2180179867.8982606</v>
      </c>
      <c r="T26" s="58"/>
      <c r="U26" s="57"/>
      <c r="V26" s="57"/>
      <c r="W26" s="57"/>
      <c r="X26" s="55"/>
      <c r="Y26" s="55"/>
      <c r="Z26" s="55"/>
      <c r="AB26"/>
      <c r="AD26" s="289"/>
    </row>
    <row r="27" spans="1:30" ht="11.25" customHeight="1">
      <c r="A27" s="142" t="s">
        <v>139</v>
      </c>
      <c r="B27" s="143"/>
      <c r="C27" s="145" t="s">
        <v>169</v>
      </c>
      <c r="D27" s="124">
        <f>+$R$27*D25</f>
        <v>37606302.18645493</v>
      </c>
      <c r="E27" s="124">
        <f>+$R$27*E25</f>
        <v>16858536.65284517</v>
      </c>
      <c r="F27" s="124">
        <f t="shared" si="0"/>
        <v>54464838.839300096</v>
      </c>
      <c r="G27" s="124">
        <f>+aoe_2021!G29</f>
        <v>174765380.72329202</v>
      </c>
      <c r="H27" s="124">
        <f>+aoe_2021!H29</f>
        <v>72624418.76209894</v>
      </c>
      <c r="I27" s="124">
        <f>+aoe_2021!I29</f>
        <v>14644976.188712636</v>
      </c>
      <c r="J27" s="124">
        <f>+aoe_2020!G29</f>
        <v>151259755.66110754</v>
      </c>
      <c r="K27" s="124">
        <f>+aoe_2020!H29</f>
        <v>67733433.62304193</v>
      </c>
      <c r="L27" s="124">
        <f>+aoe_2020!I29</f>
        <v>12715343.414023494</v>
      </c>
      <c r="M27" s="125">
        <f t="shared" si="2"/>
        <v>493743308.3722766</v>
      </c>
      <c r="N27" s="125">
        <f t="shared" si="3"/>
        <v>246871654.1861383</v>
      </c>
      <c r="O27" s="179">
        <f t="shared" si="5"/>
        <v>4.532679421204925</v>
      </c>
      <c r="P27" s="281"/>
      <c r="Q27" s="221">
        <v>167844</v>
      </c>
      <c r="R27" s="107">
        <f>+Q27/Q25</f>
        <v>0.10968583051512032</v>
      </c>
      <c r="S27" s="287">
        <f t="shared" si="4"/>
        <v>246871654.18613827</v>
      </c>
      <c r="T27" s="58"/>
      <c r="U27" s="57"/>
      <c r="V27" s="57"/>
      <c r="W27" s="57"/>
      <c r="X27" s="55"/>
      <c r="Y27" s="55"/>
      <c r="Z27" s="55"/>
      <c r="AB27"/>
      <c r="AD27" s="289"/>
    </row>
    <row r="28" spans="1:30" ht="11.25" customHeight="1">
      <c r="A28" s="142" t="s">
        <v>176</v>
      </c>
      <c r="B28" s="143"/>
      <c r="C28" s="145" t="s">
        <v>154</v>
      </c>
      <c r="D28" s="124">
        <f>+D29+D32</f>
        <v>20596967872</v>
      </c>
      <c r="E28" s="124">
        <f>+E29+E32</f>
        <v>782330286</v>
      </c>
      <c r="F28" s="124">
        <f t="shared" si="0"/>
        <v>21379298158</v>
      </c>
      <c r="G28" s="124">
        <f>+aoe_2021!G30</f>
        <v>13866736020</v>
      </c>
      <c r="H28" s="124">
        <f>+aoe_2021!H30</f>
        <v>1753228278</v>
      </c>
      <c r="I28" s="124">
        <f>+aoe_2021!I30</f>
        <v>1633522375.0252855</v>
      </c>
      <c r="J28" s="124">
        <f>+aoe_2020!G30</f>
        <v>12375855516</v>
      </c>
      <c r="K28" s="124">
        <f>+aoe_2020!H30</f>
        <v>1663743452</v>
      </c>
      <c r="L28" s="124">
        <f>+aoe_2020!I30</f>
        <v>1607990245.8482244</v>
      </c>
      <c r="M28" s="125">
        <f>SUM(G28:L28)</f>
        <v>32901075886.87351</v>
      </c>
      <c r="N28" s="125">
        <f t="shared" si="3"/>
        <v>16450537943.436754</v>
      </c>
      <c r="O28" s="179">
        <f t="shared" si="5"/>
        <v>0.7694610843565538</v>
      </c>
      <c r="P28" s="282"/>
      <c r="Q28" s="106"/>
      <c r="R28" s="107"/>
      <c r="S28" s="287">
        <f t="shared" si="4"/>
        <v>16450537943.436754</v>
      </c>
      <c r="T28" s="58"/>
      <c r="U28" s="57"/>
      <c r="V28" s="57"/>
      <c r="W28" s="57"/>
      <c r="X28" s="55"/>
      <c r="Y28" s="55"/>
      <c r="Z28" s="55"/>
      <c r="AB28"/>
      <c r="AD28" s="289"/>
    </row>
    <row r="29" spans="1:30" ht="11.25" customHeight="1">
      <c r="A29" s="142" t="s">
        <v>91</v>
      </c>
      <c r="B29" s="143"/>
      <c r="C29" s="144" t="s">
        <v>54</v>
      </c>
      <c r="D29" s="220">
        <v>10963607280</v>
      </c>
      <c r="E29" s="220">
        <v>721156317</v>
      </c>
      <c r="F29" s="124">
        <f t="shared" si="0"/>
        <v>11684763597</v>
      </c>
      <c r="G29" s="124">
        <f>+aoe_2021!G31</f>
        <v>13131964195</v>
      </c>
      <c r="H29" s="124">
        <f>+aoe_2021!H31</f>
        <v>1700292076</v>
      </c>
      <c r="I29" s="124">
        <f>+aoe_2021!I31</f>
        <v>1285429843.0343063</v>
      </c>
      <c r="J29" s="124">
        <f>+aoe_2020!G31</f>
        <v>11956187365</v>
      </c>
      <c r="K29" s="124">
        <f>+aoe_2020!H31</f>
        <v>1626136174</v>
      </c>
      <c r="L29" s="124">
        <f>+aoe_2020!I31</f>
        <v>1303735150.9874203</v>
      </c>
      <c r="M29" s="125">
        <f t="shared" si="2"/>
        <v>31003744804.021725</v>
      </c>
      <c r="N29" s="125">
        <f t="shared" si="3"/>
        <v>15501872402.010862</v>
      </c>
      <c r="O29" s="179">
        <f t="shared" si="5"/>
        <v>1.3266740292453059</v>
      </c>
      <c r="P29" s="282"/>
      <c r="Q29" s="104"/>
      <c r="R29" s="104"/>
      <c r="S29" s="287">
        <f t="shared" si="4"/>
        <v>15501872402.010864</v>
      </c>
      <c r="T29" s="58"/>
      <c r="U29" s="57"/>
      <c r="V29" s="57"/>
      <c r="W29" s="57"/>
      <c r="X29" s="55"/>
      <c r="Y29" s="55"/>
      <c r="Z29" s="55"/>
      <c r="AB29"/>
      <c r="AD29" s="289"/>
    </row>
    <row r="30" spans="1:30" ht="11.25" customHeight="1">
      <c r="A30" s="142" t="s">
        <v>177</v>
      </c>
      <c r="B30" s="143"/>
      <c r="C30" s="144" t="s">
        <v>155</v>
      </c>
      <c r="D30" s="124">
        <f>+D31+D33</f>
        <v>4033242223</v>
      </c>
      <c r="E30" s="124">
        <f>+E31+E33</f>
        <v>437654424</v>
      </c>
      <c r="F30" s="124">
        <f>D30+E30</f>
        <v>4470896647</v>
      </c>
      <c r="G30" s="124">
        <f>+aoe_2021!G32</f>
        <v>7022941535</v>
      </c>
      <c r="H30" s="124">
        <f>+aoe_2021!H32</f>
        <v>808981766</v>
      </c>
      <c r="I30" s="124">
        <f>+aoe_2021!I32</f>
        <v>318794207.0912821</v>
      </c>
      <c r="J30" s="124">
        <f>+aoe_2020!G32</f>
        <v>5967103745</v>
      </c>
      <c r="K30" s="124">
        <f>+aoe_2020!H32</f>
        <v>705507853</v>
      </c>
      <c r="L30" s="124">
        <f>+aoe_2020!I32</f>
        <v>278444554.4944256</v>
      </c>
      <c r="M30" s="125">
        <f>SUM(G30:L30)</f>
        <v>15101773660.585707</v>
      </c>
      <c r="N30" s="125">
        <f>+M30/2</f>
        <v>7550886830.292853</v>
      </c>
      <c r="O30" s="179">
        <f>0.5*SUM(G30:L30)/F30</f>
        <v>1.6888976477144795</v>
      </c>
      <c r="P30" s="282"/>
      <c r="Q30" s="104"/>
      <c r="R30" s="104"/>
      <c r="S30" s="287">
        <f t="shared" si="4"/>
        <v>7550886830.292853</v>
      </c>
      <c r="T30" s="58"/>
      <c r="U30" s="57"/>
      <c r="V30" s="57"/>
      <c r="W30" s="57"/>
      <c r="X30" s="55"/>
      <c r="Y30" s="55"/>
      <c r="Z30" s="55"/>
      <c r="AB30"/>
      <c r="AD30" s="289"/>
    </row>
    <row r="31" spans="1:30" ht="11.25" customHeight="1">
      <c r="A31" s="142" t="s">
        <v>92</v>
      </c>
      <c r="B31" s="143"/>
      <c r="C31" s="144" t="s">
        <v>55</v>
      </c>
      <c r="D31" s="220">
        <v>3375463950</v>
      </c>
      <c r="E31" s="220">
        <v>417720261</v>
      </c>
      <c r="F31" s="124">
        <f t="shared" si="0"/>
        <v>3793184211</v>
      </c>
      <c r="G31" s="124">
        <f>+aoe_2021!G33</f>
        <v>6793127815</v>
      </c>
      <c r="H31" s="124">
        <f>+aoe_2021!H33</f>
        <v>785242068</v>
      </c>
      <c r="I31" s="124">
        <f>+aoe_2021!I33</f>
        <v>291915047.76825887</v>
      </c>
      <c r="J31" s="124">
        <f>+aoe_2020!G33</f>
        <v>5786190680</v>
      </c>
      <c r="K31" s="124">
        <f>+aoe_2020!H33</f>
        <v>686979745</v>
      </c>
      <c r="L31" s="124">
        <f>+aoe_2020!I33</f>
        <v>253148545.4906461</v>
      </c>
      <c r="M31" s="125">
        <f t="shared" si="2"/>
        <v>14596603901.258905</v>
      </c>
      <c r="N31" s="125">
        <f t="shared" si="3"/>
        <v>7298301950.629453</v>
      </c>
      <c r="O31" s="179">
        <f t="shared" si="5"/>
        <v>1.9240568199838088</v>
      </c>
      <c r="P31" s="282"/>
      <c r="Q31" s="104"/>
      <c r="R31" s="104"/>
      <c r="S31" s="287">
        <f aca="true" t="shared" si="6" ref="S31:S41">+O31*F31</f>
        <v>7298301950.629453</v>
      </c>
      <c r="T31" s="58"/>
      <c r="U31" s="57"/>
      <c r="V31" s="57"/>
      <c r="W31" s="57"/>
      <c r="X31" s="55"/>
      <c r="Y31" s="55"/>
      <c r="Z31" s="55"/>
      <c r="AB31"/>
      <c r="AD31" s="289"/>
    </row>
    <row r="32" spans="1:30" ht="11.25" customHeight="1">
      <c r="A32" s="142" t="s">
        <v>93</v>
      </c>
      <c r="B32" s="143"/>
      <c r="C32" s="144" t="s">
        <v>56</v>
      </c>
      <c r="D32" s="220">
        <v>9633360592</v>
      </c>
      <c r="E32" s="220">
        <v>61173969</v>
      </c>
      <c r="F32" s="124">
        <f t="shared" si="0"/>
        <v>9694534561</v>
      </c>
      <c r="G32" s="124">
        <f>+aoe_2021!G34</f>
        <v>734771825</v>
      </c>
      <c r="H32" s="124">
        <f>+aoe_2021!H34</f>
        <v>52936202</v>
      </c>
      <c r="I32" s="124">
        <f>+aoe_2021!I34</f>
        <v>302372582.61188126</v>
      </c>
      <c r="J32" s="124">
        <f>+aoe_2020!G34</f>
        <v>419668151</v>
      </c>
      <c r="K32" s="124">
        <f>+aoe_2020!H34</f>
        <v>37607278</v>
      </c>
      <c r="L32" s="124">
        <f>+aoe_2020!I34</f>
        <v>234426008.1666836</v>
      </c>
      <c r="M32" s="125">
        <f t="shared" si="2"/>
        <v>1781782046.778565</v>
      </c>
      <c r="N32" s="125">
        <f t="shared" si="3"/>
        <v>890891023.3892825</v>
      </c>
      <c r="O32" s="179">
        <f t="shared" si="5"/>
        <v>0.0918962140764586</v>
      </c>
      <c r="P32" s="282"/>
      <c r="Q32" s="104"/>
      <c r="R32" s="104"/>
      <c r="S32" s="287">
        <f t="shared" si="6"/>
        <v>890891023.3892826</v>
      </c>
      <c r="T32" s="58"/>
      <c r="U32" s="57"/>
      <c r="V32" s="57"/>
      <c r="W32" s="57"/>
      <c r="X32" s="55"/>
      <c r="Y32" s="55"/>
      <c r="Z32" s="55"/>
      <c r="AB32"/>
      <c r="AD32" s="289"/>
    </row>
    <row r="33" spans="1:30" ht="11.25" customHeight="1">
      <c r="A33" s="142" t="s">
        <v>94</v>
      </c>
      <c r="B33" s="143"/>
      <c r="C33" s="144" t="s">
        <v>57</v>
      </c>
      <c r="D33" s="220">
        <v>657778273</v>
      </c>
      <c r="E33" s="220">
        <v>19934163</v>
      </c>
      <c r="F33" s="124">
        <f t="shared" si="0"/>
        <v>677712436</v>
      </c>
      <c r="G33" s="124">
        <f>+aoe_2021!G35</f>
        <v>229813720</v>
      </c>
      <c r="H33" s="124">
        <f>+aoe_2021!H35</f>
        <v>23739698</v>
      </c>
      <c r="I33" s="124">
        <f>+aoe_2021!I35</f>
        <v>27095240.32140946</v>
      </c>
      <c r="J33" s="124">
        <f>+aoe_2020!G35</f>
        <v>180913065</v>
      </c>
      <c r="K33" s="124">
        <f>+aoe_2020!H35</f>
        <v>18528108</v>
      </c>
      <c r="L33" s="124">
        <f>+aoe_2020!I35</f>
        <v>25741091.335037272</v>
      </c>
      <c r="M33" s="125">
        <f t="shared" si="2"/>
        <v>505830922.65644675</v>
      </c>
      <c r="N33" s="125">
        <f t="shared" si="3"/>
        <v>252915461.32822338</v>
      </c>
      <c r="O33" s="179">
        <f t="shared" si="5"/>
        <v>0.373189937049087</v>
      </c>
      <c r="P33" s="282"/>
      <c r="Q33" s="104"/>
      <c r="R33" s="104"/>
      <c r="S33" s="287">
        <f t="shared" si="6"/>
        <v>252915461.32822338</v>
      </c>
      <c r="T33" s="58"/>
      <c r="U33" s="57"/>
      <c r="V33" s="57"/>
      <c r="W33" s="57"/>
      <c r="X33" s="55"/>
      <c r="Y33" s="55"/>
      <c r="Z33" s="55"/>
      <c r="AB33"/>
      <c r="AD33" s="289"/>
    </row>
    <row r="34" spans="1:30" ht="11.25" customHeight="1">
      <c r="A34" s="142" t="s">
        <v>95</v>
      </c>
      <c r="B34" s="143"/>
      <c r="C34" s="144" t="s">
        <v>58</v>
      </c>
      <c r="D34" s="220">
        <v>153785670</v>
      </c>
      <c r="E34" s="220">
        <v>24071534</v>
      </c>
      <c r="F34" s="124">
        <f t="shared" si="0"/>
        <v>177857204</v>
      </c>
      <c r="G34" s="124">
        <f>+aoe_2021!G36</f>
        <v>251428267</v>
      </c>
      <c r="H34" s="124">
        <f>+aoe_2021!H36</f>
        <v>42195376</v>
      </c>
      <c r="I34" s="124">
        <f>+aoe_2021!I36</f>
        <v>14208078.851462519</v>
      </c>
      <c r="J34" s="124">
        <f>+aoe_2020!G36</f>
        <v>219865613</v>
      </c>
      <c r="K34" s="124">
        <f>+aoe_2020!H36</f>
        <v>32185802</v>
      </c>
      <c r="L34" s="124">
        <f>+aoe_2020!I36</f>
        <v>10215751.015592076</v>
      </c>
      <c r="M34" s="125">
        <f t="shared" si="2"/>
        <v>570098887.8670547</v>
      </c>
      <c r="N34" s="125">
        <f t="shared" si="3"/>
        <v>285049443.93352735</v>
      </c>
      <c r="O34" s="179">
        <f t="shared" si="5"/>
        <v>1.6026870856101356</v>
      </c>
      <c r="P34" s="280"/>
      <c r="Q34" s="104"/>
      <c r="R34" s="104"/>
      <c r="S34" s="287">
        <f t="shared" si="6"/>
        <v>285049443.93352735</v>
      </c>
      <c r="T34" s="58"/>
      <c r="U34" s="57"/>
      <c r="V34" s="57"/>
      <c r="W34" s="57"/>
      <c r="X34" s="55"/>
      <c r="Y34" s="55"/>
      <c r="Z34" s="55"/>
      <c r="AB34"/>
      <c r="AD34" s="289"/>
    </row>
    <row r="35" spans="1:30" ht="11.25" customHeight="1">
      <c r="A35" s="142" t="s">
        <v>96</v>
      </c>
      <c r="B35" s="143"/>
      <c r="C35" s="144" t="s">
        <v>59</v>
      </c>
      <c r="D35" s="220">
        <v>60949777</v>
      </c>
      <c r="E35" s="220">
        <v>3359429</v>
      </c>
      <c r="F35" s="124">
        <f t="shared" si="0"/>
        <v>64309206</v>
      </c>
      <c r="G35" s="124">
        <f>+aoe_2021!G37</f>
        <v>144967607</v>
      </c>
      <c r="H35" s="124">
        <f>+aoe_2021!H37</f>
        <v>13973238</v>
      </c>
      <c r="I35" s="124">
        <f>+aoe_2021!I37</f>
        <v>10202444.471663946</v>
      </c>
      <c r="J35" s="124">
        <f>+aoe_2020!G37</f>
        <v>131128139</v>
      </c>
      <c r="K35" s="124">
        <f>+aoe_2020!H37</f>
        <v>13558939</v>
      </c>
      <c r="L35" s="124">
        <f>+aoe_2020!I37</f>
        <v>9308246.96583411</v>
      </c>
      <c r="M35" s="125">
        <f t="shared" si="2"/>
        <v>323138614.43749803</v>
      </c>
      <c r="N35" s="125">
        <f t="shared" si="3"/>
        <v>161569307.21874902</v>
      </c>
      <c r="O35" s="179">
        <f t="shared" si="5"/>
        <v>2.512382243045405</v>
      </c>
      <c r="P35" s="280"/>
      <c r="Q35" s="104"/>
      <c r="R35" s="104"/>
      <c r="S35" s="287">
        <f t="shared" si="6"/>
        <v>161569307.21874902</v>
      </c>
      <c r="T35" s="58"/>
      <c r="U35" s="57"/>
      <c r="V35" s="57"/>
      <c r="W35" s="57"/>
      <c r="X35" s="55"/>
      <c r="Y35" s="55"/>
      <c r="Z35" s="55"/>
      <c r="AB35"/>
      <c r="AD35" s="289"/>
    </row>
    <row r="36" spans="1:30" ht="11.25" customHeight="1">
      <c r="A36" s="142" t="s">
        <v>97</v>
      </c>
      <c r="B36" s="143"/>
      <c r="C36" s="144" t="s">
        <v>60</v>
      </c>
      <c r="D36" s="220">
        <v>81133175</v>
      </c>
      <c r="E36" s="220">
        <v>16569362</v>
      </c>
      <c r="F36" s="124">
        <f t="shared" si="0"/>
        <v>97702537</v>
      </c>
      <c r="G36" s="124">
        <f>+aoe_2021!G38</f>
        <v>409609640</v>
      </c>
      <c r="H36" s="124">
        <f>+aoe_2021!H38</f>
        <v>58728029</v>
      </c>
      <c r="I36" s="124">
        <f>+aoe_2021!I38</f>
        <v>30072484.249292225</v>
      </c>
      <c r="J36" s="124">
        <f>+aoe_2020!G38</f>
        <v>421208614</v>
      </c>
      <c r="K36" s="124">
        <f>+aoe_2020!H38</f>
        <v>61060784</v>
      </c>
      <c r="L36" s="124">
        <f>+aoe_2020!I38</f>
        <v>35492273.034110285</v>
      </c>
      <c r="M36" s="125">
        <f t="shared" si="2"/>
        <v>1016171824.2834026</v>
      </c>
      <c r="N36" s="125">
        <f t="shared" si="3"/>
        <v>508085912.1417013</v>
      </c>
      <c r="O36" s="179">
        <f t="shared" si="5"/>
        <v>5.20033489142356</v>
      </c>
      <c r="P36" s="280"/>
      <c r="Q36" s="104"/>
      <c r="R36" s="104"/>
      <c r="S36" s="287">
        <f t="shared" si="6"/>
        <v>508085912.14170134</v>
      </c>
      <c r="T36" s="58"/>
      <c r="U36" s="57"/>
      <c r="V36" s="57"/>
      <c r="W36" s="57"/>
      <c r="X36" s="55"/>
      <c r="Y36" s="55"/>
      <c r="Z36" s="55"/>
      <c r="AB36"/>
      <c r="AD36" s="289"/>
    </row>
    <row r="37" spans="1:30" ht="11.25" customHeight="1">
      <c r="A37" s="142" t="s">
        <v>98</v>
      </c>
      <c r="B37" s="143"/>
      <c r="C37" s="144" t="s">
        <v>163</v>
      </c>
      <c r="D37" s="220">
        <v>28002389</v>
      </c>
      <c r="E37" s="220">
        <v>139768</v>
      </c>
      <c r="F37" s="124">
        <f t="shared" si="0"/>
        <v>28142157</v>
      </c>
      <c r="G37" s="124">
        <f>+aoe_2021!G39</f>
        <v>41428198</v>
      </c>
      <c r="H37" s="124">
        <f>+aoe_2021!H39</f>
        <v>3949110</v>
      </c>
      <c r="I37" s="124">
        <f>+aoe_2021!I39</f>
        <v>3713864.9091723203</v>
      </c>
      <c r="J37" s="124">
        <f>+aoe_2020!G39</f>
        <v>34461807</v>
      </c>
      <c r="K37" s="124">
        <f>+aoe_2020!H39</f>
        <v>3749252</v>
      </c>
      <c r="L37" s="124">
        <f>+aoe_2020!I39</f>
        <v>2560846.391511299</v>
      </c>
      <c r="M37" s="125">
        <f t="shared" si="2"/>
        <v>89863078.30068363</v>
      </c>
      <c r="N37" s="125">
        <f t="shared" si="3"/>
        <v>44931539.150341816</v>
      </c>
      <c r="O37" s="311">
        <f>+W37</f>
        <v>1.007113416222989</v>
      </c>
      <c r="P37" s="280" t="s">
        <v>162</v>
      </c>
      <c r="Q37" s="104"/>
      <c r="R37" s="104"/>
      <c r="S37" s="287">
        <f t="shared" si="6"/>
        <v>28342343.876153708</v>
      </c>
      <c r="T37" s="58" t="str">
        <f>+C37</f>
        <v>BRGLRY THEFT **</v>
      </c>
      <c r="U37" s="59">
        <f>SUM(U8:U17)</f>
        <v>6643291458.422161</v>
      </c>
      <c r="V37" s="59">
        <f>SUM(V8:V17)</f>
        <v>3298184371</v>
      </c>
      <c r="W37" s="60">
        <f>0.5*(+U37/V37)</f>
        <v>1.007113416222989</v>
      </c>
      <c r="X37" s="55"/>
      <c r="Y37" s="55"/>
      <c r="Z37" s="55"/>
      <c r="AB37"/>
      <c r="AD37" s="289"/>
    </row>
    <row r="38" spans="1:30" ht="11.25" customHeight="1">
      <c r="A38" s="142" t="s">
        <v>99</v>
      </c>
      <c r="B38" s="143"/>
      <c r="C38" s="144" t="s">
        <v>62</v>
      </c>
      <c r="D38" s="220">
        <v>45626202</v>
      </c>
      <c r="E38" s="220">
        <v>-15802993</v>
      </c>
      <c r="F38" s="124">
        <f t="shared" si="0"/>
        <v>29823209</v>
      </c>
      <c r="G38" s="124">
        <f>+aoe_2021!G40</f>
        <v>74767451</v>
      </c>
      <c r="H38" s="124">
        <f>+aoe_2021!H40</f>
        <v>2754775</v>
      </c>
      <c r="I38" s="124">
        <f>+aoe_2021!I40</f>
        <v>2388778.8813274684</v>
      </c>
      <c r="J38" s="124">
        <f>+aoe_2020!G40</f>
        <v>63858885</v>
      </c>
      <c r="K38" s="124">
        <f>+aoe_2020!H40</f>
        <v>19384800</v>
      </c>
      <c r="L38" s="124">
        <f>+aoe_2020!I40</f>
        <v>2679013.6642504935</v>
      </c>
      <c r="M38" s="125">
        <f t="shared" si="2"/>
        <v>165833703.54557794</v>
      </c>
      <c r="N38" s="125">
        <f t="shared" si="3"/>
        <v>82916851.77278897</v>
      </c>
      <c r="O38" s="179">
        <f t="shared" si="5"/>
        <v>2.780279337907231</v>
      </c>
      <c r="P38" s="280"/>
      <c r="Q38" s="104"/>
      <c r="R38" s="104"/>
      <c r="S38" s="287">
        <f t="shared" si="6"/>
        <v>82916851.77278897</v>
      </c>
      <c r="T38" s="57"/>
      <c r="U38" s="57"/>
      <c r="V38" s="57"/>
      <c r="W38" s="57"/>
      <c r="X38" s="55"/>
      <c r="Y38" s="55"/>
      <c r="Z38" s="55"/>
      <c r="AB38"/>
      <c r="AD38" s="289"/>
    </row>
    <row r="39" spans="1:30" ht="11.25" customHeight="1">
      <c r="A39" s="142" t="s">
        <v>100</v>
      </c>
      <c r="B39" s="143"/>
      <c r="C39" s="144" t="s">
        <v>63</v>
      </c>
      <c r="D39" s="220">
        <v>4274985</v>
      </c>
      <c r="E39" s="220">
        <v>3898270</v>
      </c>
      <c r="F39" s="124">
        <f t="shared" si="0"/>
        <v>8173255</v>
      </c>
      <c r="G39" s="124">
        <f>+aoe_2021!G41</f>
        <v>89448699</v>
      </c>
      <c r="H39" s="124">
        <f>+aoe_2021!H41</f>
        <v>5352541</v>
      </c>
      <c r="I39" s="124">
        <f>+aoe_2021!I41</f>
        <v>3470458.797182335</v>
      </c>
      <c r="J39" s="124">
        <f>+aoe_2020!G41</f>
        <v>96981625</v>
      </c>
      <c r="K39" s="124">
        <f>+aoe_2020!H41</f>
        <v>1940393</v>
      </c>
      <c r="L39" s="124">
        <f>+aoe_2020!I41</f>
        <v>2850610.940754106</v>
      </c>
      <c r="M39" s="125">
        <f t="shared" si="2"/>
        <v>200044327.73793644</v>
      </c>
      <c r="N39" s="125">
        <f t="shared" si="3"/>
        <v>100022163.86896822</v>
      </c>
      <c r="O39" s="179">
        <f t="shared" si="5"/>
        <v>12.237739293459976</v>
      </c>
      <c r="P39" s="280"/>
      <c r="Q39" s="104"/>
      <c r="R39" s="104"/>
      <c r="S39" s="287">
        <f t="shared" si="6"/>
        <v>100022163.86896822</v>
      </c>
      <c r="T39" s="69"/>
      <c r="U39" s="69"/>
      <c r="V39" s="69"/>
      <c r="W39" s="69"/>
      <c r="X39" s="55"/>
      <c r="Y39" s="55"/>
      <c r="Z39" s="55"/>
      <c r="AB39"/>
      <c r="AD39" s="289"/>
    </row>
    <row r="40" spans="1:30" ht="11.25" customHeight="1">
      <c r="A40" s="142" t="s">
        <v>157</v>
      </c>
      <c r="B40" s="143"/>
      <c r="C40" s="144" t="s">
        <v>156</v>
      </c>
      <c r="D40" s="220">
        <v>97735751</v>
      </c>
      <c r="E40" s="220">
        <v>320308</v>
      </c>
      <c r="F40" s="124">
        <f t="shared" si="0"/>
        <v>98056059</v>
      </c>
      <c r="G40" s="124">
        <f>+aoe_2021!G42</f>
        <v>25882881</v>
      </c>
      <c r="H40" s="124">
        <f>+aoe_2021!H42</f>
        <v>217203</v>
      </c>
      <c r="I40" s="124">
        <f>+aoe_2021!I42</f>
        <v>251840.3110725561</v>
      </c>
      <c r="J40" s="124">
        <f>+aoe_2020!G42</f>
        <v>19604816</v>
      </c>
      <c r="K40" s="124">
        <f>+aoe_2020!H42</f>
        <v>32885</v>
      </c>
      <c r="L40" s="124">
        <f>+aoe_2020!I42</f>
        <v>1172476.0245230936</v>
      </c>
      <c r="M40" s="125">
        <f t="shared" si="2"/>
        <v>47162101.33559565</v>
      </c>
      <c r="N40" s="125">
        <f t="shared" si="3"/>
        <v>23581050.667797826</v>
      </c>
      <c r="O40" s="179">
        <f t="shared" si="5"/>
        <v>0.24048540098677457</v>
      </c>
      <c r="P40" s="280"/>
      <c r="Q40" s="104"/>
      <c r="R40" s="104"/>
      <c r="S40" s="287">
        <f t="shared" si="6"/>
        <v>23581050.667797826</v>
      </c>
      <c r="T40" s="69"/>
      <c r="U40" s="69"/>
      <c r="V40" s="69"/>
      <c r="W40" s="69"/>
      <c r="X40" s="55"/>
      <c r="Y40" s="55"/>
      <c r="Z40" s="55"/>
      <c r="AB40"/>
      <c r="AD40" s="289"/>
    </row>
    <row r="41" spans="1:30" ht="11.25" customHeight="1" thickBot="1">
      <c r="A41" s="146" t="s">
        <v>102</v>
      </c>
      <c r="B41" s="147"/>
      <c r="C41" s="148" t="s">
        <v>64</v>
      </c>
      <c r="D41" s="220">
        <v>47060000</v>
      </c>
      <c r="E41" s="220">
        <v>5804115</v>
      </c>
      <c r="F41" s="126">
        <f t="shared" si="0"/>
        <v>52864115</v>
      </c>
      <c r="G41" s="126">
        <f>+aoe_2021!G43</f>
        <v>96298052</v>
      </c>
      <c r="H41" s="126">
        <f>+aoe_2021!H43</f>
        <v>10528730</v>
      </c>
      <c r="I41" s="126">
        <f>+aoe_2021!I43</f>
        <v>14474561.535183318</v>
      </c>
      <c r="J41" s="126">
        <f>+aoe_2020!G43</f>
        <v>93714537</v>
      </c>
      <c r="K41" s="126">
        <f>+aoe_2020!H43</f>
        <v>6194717</v>
      </c>
      <c r="L41" s="126">
        <f>+aoe_2020!I43</f>
        <v>1080711691.8595226</v>
      </c>
      <c r="M41" s="127">
        <f t="shared" si="2"/>
        <v>1301922289.3947058</v>
      </c>
      <c r="N41" s="127">
        <f t="shared" si="3"/>
        <v>650961144.6973529</v>
      </c>
      <c r="O41" s="180">
        <f t="shared" si="5"/>
        <v>12.313856851615748</v>
      </c>
      <c r="P41" s="283"/>
      <c r="Q41" s="104"/>
      <c r="R41" s="104"/>
      <c r="S41" s="287">
        <f t="shared" si="6"/>
        <v>650961144.6973529</v>
      </c>
      <c r="AB41"/>
      <c r="AD41" s="289"/>
    </row>
    <row r="42" spans="1:30" ht="4.5" customHeight="1" thickBot="1">
      <c r="A42" s="149"/>
      <c r="B42" s="149"/>
      <c r="C42" s="150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30"/>
      <c r="P42" s="120"/>
      <c r="Q42" s="104"/>
      <c r="R42" s="104"/>
      <c r="S42" s="287"/>
      <c r="AB42"/>
      <c r="AD42" s="289"/>
    </row>
    <row r="43" spans="1:30" s="189" customFormat="1" ht="16.5" customHeight="1" thickBot="1">
      <c r="A43" s="181"/>
      <c r="B43" s="182"/>
      <c r="C43" s="183" t="s">
        <v>65</v>
      </c>
      <c r="D43" s="131">
        <f>SUM(D8:D41)-D14-D18-D22-D25-D28-D30</f>
        <v>45509841490</v>
      </c>
      <c r="E43" s="131">
        <f>SUM(E8:E41)-E14-E18-E22-E25-E28-E30</f>
        <v>4156951314</v>
      </c>
      <c r="F43" s="131">
        <f t="shared" si="0"/>
        <v>49666792804</v>
      </c>
      <c r="G43" s="131">
        <f>+aoe_2021!G45</f>
        <v>65247557784</v>
      </c>
      <c r="H43" s="131">
        <f>+aoe_2021!H45</f>
        <v>10546137624</v>
      </c>
      <c r="I43" s="131">
        <f>+aoe_2021!I45</f>
        <v>6560159708.772352</v>
      </c>
      <c r="J43" s="131">
        <f>+aoe_2020!G45</f>
        <v>59612435945</v>
      </c>
      <c r="K43" s="131">
        <f>+aoe_2020!H45</f>
        <v>9891313115</v>
      </c>
      <c r="L43" s="131">
        <f>+aoe_2020!I45</f>
        <v>4319932320.344733</v>
      </c>
      <c r="M43" s="184">
        <f t="shared" si="2"/>
        <v>156177536497.11707</v>
      </c>
      <c r="N43" s="184">
        <f t="shared" si="3"/>
        <v>78088768248.55853</v>
      </c>
      <c r="O43" s="185">
        <f>+S43/F43</f>
        <v>1.5705595523608642</v>
      </c>
      <c r="P43" s="186"/>
      <c r="Q43" s="187"/>
      <c r="R43" s="188"/>
      <c r="S43" s="288">
        <f>SUM(S8:S41)-S14-S18-S22-S25-S28-S30</f>
        <v>78004655873.45003</v>
      </c>
      <c r="T43" s="189" t="s">
        <v>193</v>
      </c>
      <c r="AB43"/>
      <c r="AD43" s="289"/>
    </row>
    <row r="44" spans="1:30" ht="6" customHeight="1">
      <c r="A44" s="100"/>
      <c r="B44" s="100"/>
      <c r="C44" s="100"/>
      <c r="D44" s="108"/>
      <c r="E44" s="108"/>
      <c r="F44" s="108"/>
      <c r="G44" s="109"/>
      <c r="H44" s="109"/>
      <c r="I44" s="110"/>
      <c r="J44" s="109"/>
      <c r="K44" s="109"/>
      <c r="L44" s="111"/>
      <c r="M44" s="111"/>
      <c r="N44" s="111"/>
      <c r="O44" s="112"/>
      <c r="P44" s="112"/>
      <c r="Q44" s="100"/>
      <c r="R44" s="100"/>
      <c r="S44" s="13"/>
      <c r="AD44" s="289"/>
    </row>
    <row r="45" spans="1:19" ht="11.25" customHeight="1">
      <c r="A45" s="118" t="s">
        <v>160</v>
      </c>
      <c r="B45" s="118" t="s">
        <v>161</v>
      </c>
      <c r="C45" s="119" t="s">
        <v>208</v>
      </c>
      <c r="D45" s="115"/>
      <c r="E45" s="115"/>
      <c r="F45" s="115"/>
      <c r="G45" s="116"/>
      <c r="H45" s="116"/>
      <c r="I45" s="116"/>
      <c r="J45" s="117"/>
      <c r="K45" s="113"/>
      <c r="L45" s="113"/>
      <c r="M45" s="113"/>
      <c r="N45" s="113"/>
      <c r="O45" s="114"/>
      <c r="P45" s="114"/>
      <c r="Q45" s="100"/>
      <c r="R45" s="100"/>
      <c r="S45" s="288"/>
    </row>
    <row r="46" spans="1:19" ht="11.25" customHeight="1">
      <c r="A46" s="100"/>
      <c r="B46" s="118" t="s">
        <v>162</v>
      </c>
      <c r="C46" s="116" t="s">
        <v>178</v>
      </c>
      <c r="D46" s="115"/>
      <c r="E46" s="115"/>
      <c r="F46" s="115"/>
      <c r="G46" s="116"/>
      <c r="H46" s="116"/>
      <c r="I46" s="116"/>
      <c r="J46" s="117"/>
      <c r="K46" s="113"/>
      <c r="L46" s="113"/>
      <c r="M46" s="113"/>
      <c r="N46" s="113"/>
      <c r="O46" s="114"/>
      <c r="P46" s="114"/>
      <c r="Q46" s="100"/>
      <c r="R46" s="100"/>
      <c r="S46" s="289"/>
    </row>
    <row r="47" spans="10:14" ht="14.25">
      <c r="J47" s="14"/>
      <c r="K47" s="14"/>
      <c r="L47" s="14"/>
      <c r="M47" s="14"/>
      <c r="N47" s="14"/>
    </row>
    <row r="48" spans="10:14" ht="14.25">
      <c r="J48" s="14"/>
      <c r="K48" s="14"/>
      <c r="L48" s="14"/>
      <c r="M48" s="14"/>
      <c r="N48" s="14"/>
    </row>
    <row r="49" spans="10:14" ht="14.25">
      <c r="J49" s="14"/>
      <c r="K49" s="14"/>
      <c r="L49" s="14"/>
      <c r="M49" s="14"/>
      <c r="N49" s="14"/>
    </row>
    <row r="50" spans="10:14" ht="14.25">
      <c r="J50" s="14"/>
      <c r="K50" s="14"/>
      <c r="L50" s="14"/>
      <c r="M50" s="14"/>
      <c r="N50" s="14"/>
    </row>
    <row r="51" spans="10:14" ht="14.25">
      <c r="J51" s="14"/>
      <c r="K51" s="14"/>
      <c r="L51" s="14"/>
      <c r="M51" s="14"/>
      <c r="N51" s="14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</sheetData>
  <sheetProtection/>
  <mergeCells count="1">
    <mergeCell ref="A1:R1"/>
  </mergeCells>
  <printOptions horizontalCentered="1" verticalCentered="1"/>
  <pageMargins left="0" right="0" top="0.21" bottom="0.25" header="0.28" footer="0.35"/>
  <pageSetup fitToHeight="1" fitToWidth="1" horizontalDpi="600" verticalDpi="600" orientation="landscape" paperSize="5" r:id="rId1"/>
  <headerFooter alignWithMargins="0">
    <oddFooter>&amp;L&amp;8California Department of Insurance&amp;R&amp;8Rate Specialist Bureau  - 8/30/2022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6384" width="9.28125" style="70" customWidth="1"/>
  </cols>
  <sheetData>
    <row r="1" spans="1:11" ht="46.5" customHeight="1">
      <c r="A1" s="314" t="s">
        <v>205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" customHeight="1">
      <c r="A2" s="278"/>
      <c r="B2" s="278"/>
      <c r="C2" s="278"/>
      <c r="D2" s="307"/>
      <c r="E2" s="307"/>
      <c r="F2" s="307"/>
      <c r="G2" s="307"/>
      <c r="H2" s="307"/>
      <c r="I2" s="307"/>
      <c r="J2" s="307"/>
      <c r="K2" s="307"/>
    </row>
    <row r="3" spans="1:11" ht="15" customHeight="1" thickBot="1">
      <c r="A3" s="278"/>
      <c r="B3" s="278"/>
      <c r="C3" s="278"/>
      <c r="D3" s="310"/>
      <c r="E3" s="310"/>
      <c r="F3" s="310"/>
      <c r="G3" s="310"/>
      <c r="H3" s="310"/>
      <c r="I3" s="307"/>
      <c r="J3" s="310"/>
      <c r="K3" s="278"/>
    </row>
    <row r="4" spans="1:11" s="75" customFormat="1" ht="11.2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</row>
    <row r="5" spans="1:11" ht="12.75">
      <c r="A5" s="76"/>
      <c r="B5" s="77"/>
      <c r="C5" s="78"/>
      <c r="D5" s="79">
        <v>2021</v>
      </c>
      <c r="E5" s="79">
        <v>2021</v>
      </c>
      <c r="F5" s="79">
        <v>2021</v>
      </c>
      <c r="G5" s="79">
        <v>2021</v>
      </c>
      <c r="H5" s="79">
        <v>2021</v>
      </c>
      <c r="I5" s="79">
        <v>2021</v>
      </c>
      <c r="J5" s="79">
        <v>2021</v>
      </c>
      <c r="K5" s="80">
        <v>2021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 customHeight="1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1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11" t="s">
        <v>116</v>
      </c>
      <c r="J8" s="84" t="s">
        <v>108</v>
      </c>
      <c r="K8" s="85"/>
    </row>
    <row r="9" spans="1:11" ht="11.25" customHeight="1" thickBot="1">
      <c r="A9" s="77"/>
      <c r="B9" s="77"/>
      <c r="C9" s="87"/>
      <c r="D9" s="297"/>
      <c r="E9" s="297"/>
      <c r="F9" s="297"/>
      <c r="G9" s="297"/>
      <c r="H9" s="297"/>
      <c r="I9" s="297"/>
      <c r="J9" s="297"/>
      <c r="K9" s="297"/>
    </row>
    <row r="10" spans="1:11" ht="12.75" customHeight="1">
      <c r="A10" s="200" t="s">
        <v>76</v>
      </c>
      <c r="B10" s="201"/>
      <c r="C10" s="202" t="s">
        <v>41</v>
      </c>
      <c r="D10" s="284">
        <v>355618</v>
      </c>
      <c r="E10" s="212">
        <v>12004805</v>
      </c>
      <c r="F10" s="212">
        <v>483630</v>
      </c>
      <c r="G10" s="212">
        <v>1211969224</v>
      </c>
      <c r="H10" s="212">
        <v>54988504</v>
      </c>
      <c r="I10" s="212">
        <f aca="true" t="shared" si="0" ref="I10:I43">+D10*(G10+H10)/(E10+F10)</f>
        <v>36077616.87640637</v>
      </c>
      <c r="J10" s="213"/>
      <c r="K10" s="214"/>
    </row>
    <row r="11" spans="1:11" ht="12.75" customHeight="1">
      <c r="A11" s="203" t="s">
        <v>77</v>
      </c>
      <c r="B11" s="204"/>
      <c r="C11" s="205" t="s">
        <v>42</v>
      </c>
      <c r="D11" s="285">
        <v>449455</v>
      </c>
      <c r="E11" s="215">
        <v>13410358</v>
      </c>
      <c r="F11" s="215">
        <v>617298</v>
      </c>
      <c r="G11" s="215">
        <v>702555880</v>
      </c>
      <c r="H11" s="215">
        <v>32313307</v>
      </c>
      <c r="I11" s="215">
        <f t="shared" si="0"/>
        <v>23545675.08948644</v>
      </c>
      <c r="J11" s="198"/>
      <c r="K11" s="216"/>
    </row>
    <row r="12" spans="1:11" ht="12.75" customHeight="1">
      <c r="A12" s="203" t="s">
        <v>180</v>
      </c>
      <c r="B12" s="204"/>
      <c r="C12" s="205" t="s">
        <v>181</v>
      </c>
      <c r="D12" s="285">
        <v>1657</v>
      </c>
      <c r="E12" s="215">
        <v>268541</v>
      </c>
      <c r="F12" s="215">
        <v>1063</v>
      </c>
      <c r="G12" s="215">
        <v>13428836</v>
      </c>
      <c r="H12" s="215">
        <v>455678</v>
      </c>
      <c r="I12" s="215">
        <f t="shared" si="0"/>
        <v>85334.93456328541</v>
      </c>
      <c r="J12" s="198"/>
      <c r="K12" s="216"/>
    </row>
    <row r="13" spans="1:11" ht="12.75" customHeight="1">
      <c r="A13" s="203" t="s">
        <v>182</v>
      </c>
      <c r="B13" s="204"/>
      <c r="C13" s="205" t="s">
        <v>183</v>
      </c>
      <c r="D13" s="285">
        <v>8990</v>
      </c>
      <c r="E13" s="215">
        <v>535034</v>
      </c>
      <c r="F13" s="215">
        <v>16701</v>
      </c>
      <c r="G13" s="215">
        <v>22291581</v>
      </c>
      <c r="H13" s="215">
        <v>568229</v>
      </c>
      <c r="I13" s="215">
        <f t="shared" si="0"/>
        <v>372478.98338876455</v>
      </c>
      <c r="J13" s="198"/>
      <c r="K13" s="216"/>
    </row>
    <row r="14" spans="1:11" ht="12.75" customHeight="1">
      <c r="A14" s="203" t="s">
        <v>78</v>
      </c>
      <c r="B14" s="204"/>
      <c r="C14" s="205" t="s">
        <v>43</v>
      </c>
      <c r="D14" s="285">
        <v>112313</v>
      </c>
      <c r="E14" s="215">
        <v>1729309</v>
      </c>
      <c r="F14" s="215">
        <v>131066</v>
      </c>
      <c r="G14" s="215">
        <v>157885042</v>
      </c>
      <c r="H14" s="215">
        <v>23991407</v>
      </c>
      <c r="I14" s="215">
        <f t="shared" si="0"/>
        <v>10980092.517119935</v>
      </c>
      <c r="J14" s="198"/>
      <c r="K14" s="216"/>
    </row>
    <row r="15" spans="1:11" ht="12.75" customHeight="1">
      <c r="A15" s="203" t="s">
        <v>79</v>
      </c>
      <c r="B15" s="204"/>
      <c r="C15" s="205" t="s">
        <v>44</v>
      </c>
      <c r="D15" s="285">
        <v>4056787</v>
      </c>
      <c r="E15" s="215">
        <v>40096066</v>
      </c>
      <c r="F15" s="215">
        <v>3030787</v>
      </c>
      <c r="G15" s="215">
        <v>4915031483</v>
      </c>
      <c r="H15" s="215">
        <v>391876252</v>
      </c>
      <c r="I15" s="215">
        <f t="shared" si="0"/>
        <v>499201606.7007589</v>
      </c>
      <c r="J15" s="198"/>
      <c r="K15" s="216"/>
    </row>
    <row r="16" spans="1:11" ht="12.75" customHeight="1">
      <c r="A16" s="203" t="s">
        <v>142</v>
      </c>
      <c r="B16" s="204"/>
      <c r="C16" s="206" t="s">
        <v>141</v>
      </c>
      <c r="D16" s="191">
        <f>+D17+D18</f>
        <v>2763171</v>
      </c>
      <c r="E16" s="191">
        <f>+E17+E18</f>
        <v>45652486</v>
      </c>
      <c r="F16" s="191">
        <f>+F17+F18</f>
        <v>10873736</v>
      </c>
      <c r="G16" s="191">
        <f>+G17+G18</f>
        <v>5490985956</v>
      </c>
      <c r="H16" s="191">
        <f>+H17+H18</f>
        <v>1345409612</v>
      </c>
      <c r="I16" s="191">
        <f t="shared" si="0"/>
        <v>334183487.0553728</v>
      </c>
      <c r="J16" s="198"/>
      <c r="K16" s="216"/>
    </row>
    <row r="17" spans="1:11" ht="12.75" customHeight="1">
      <c r="A17" s="203" t="s">
        <v>80</v>
      </c>
      <c r="B17" s="204"/>
      <c r="C17" s="206" t="s">
        <v>45</v>
      </c>
      <c r="D17" s="285">
        <v>961702</v>
      </c>
      <c r="E17" s="215">
        <v>16448468</v>
      </c>
      <c r="F17" s="215">
        <v>1183197</v>
      </c>
      <c r="G17" s="215">
        <v>1745793557</v>
      </c>
      <c r="H17" s="215">
        <v>143388445</v>
      </c>
      <c r="I17" s="215">
        <f t="shared" si="0"/>
        <v>103043592.85906373</v>
      </c>
      <c r="J17" s="198"/>
      <c r="K17" s="216"/>
    </row>
    <row r="18" spans="1:11" ht="12.75" customHeight="1">
      <c r="A18" s="203" t="s">
        <v>81</v>
      </c>
      <c r="B18" s="204"/>
      <c r="C18" s="206" t="s">
        <v>46</v>
      </c>
      <c r="D18" s="285">
        <v>1801469</v>
      </c>
      <c r="E18" s="215">
        <v>29204018</v>
      </c>
      <c r="F18" s="215">
        <v>9690539</v>
      </c>
      <c r="G18" s="215">
        <v>3745192399</v>
      </c>
      <c r="H18" s="215">
        <v>1202021167</v>
      </c>
      <c r="I18" s="215">
        <f t="shared" si="0"/>
        <v>229138793.77848303</v>
      </c>
      <c r="J18" s="198"/>
      <c r="K18" s="216"/>
    </row>
    <row r="19" spans="1:11" ht="12.75" customHeight="1">
      <c r="A19" s="203" t="s">
        <v>85</v>
      </c>
      <c r="B19" s="204"/>
      <c r="C19" s="205" t="s">
        <v>48</v>
      </c>
      <c r="D19" s="285">
        <v>404914</v>
      </c>
      <c r="E19" s="215">
        <v>7851375</v>
      </c>
      <c r="F19" s="215">
        <v>425328</v>
      </c>
      <c r="G19" s="215">
        <v>962523691</v>
      </c>
      <c r="H19" s="215">
        <v>59059446</v>
      </c>
      <c r="I19" s="215">
        <f t="shared" si="0"/>
        <v>49978030.422889166</v>
      </c>
      <c r="J19" s="198"/>
      <c r="K19" s="216"/>
    </row>
    <row r="20" spans="1:11" ht="12.75" customHeight="1">
      <c r="A20" s="203" t="s">
        <v>87</v>
      </c>
      <c r="B20" s="204"/>
      <c r="C20" s="206" t="s">
        <v>158</v>
      </c>
      <c r="D20" s="285">
        <v>17484016</v>
      </c>
      <c r="E20" s="215">
        <v>26100880</v>
      </c>
      <c r="F20" s="215">
        <v>7602521</v>
      </c>
      <c r="G20" s="215">
        <v>1612021442</v>
      </c>
      <c r="H20" s="215">
        <v>536121703</v>
      </c>
      <c r="I20" s="215">
        <f t="shared" si="0"/>
        <v>1114373268.0707896</v>
      </c>
      <c r="J20" s="192">
        <f>SUM(J21:J22)</f>
        <v>23739848</v>
      </c>
      <c r="K20" s="194">
        <f>SUM(K21:K22)</f>
        <v>1</v>
      </c>
    </row>
    <row r="21" spans="1:11" ht="12.75" customHeight="1">
      <c r="A21" s="203" t="s">
        <v>135</v>
      </c>
      <c r="B21" s="204"/>
      <c r="C21" s="206" t="s">
        <v>165</v>
      </c>
      <c r="D21" s="191">
        <f>+$K$21*D20</f>
        <v>6001801.051135963</v>
      </c>
      <c r="E21" s="191">
        <f>+$K$21*E20</f>
        <v>8959742.945761068</v>
      </c>
      <c r="F21" s="191">
        <f>+$K$21*F20</f>
        <v>2609744.725072502</v>
      </c>
      <c r="G21" s="191">
        <f>+$K$21*G20</f>
        <v>553364397.8047899</v>
      </c>
      <c r="H21" s="191">
        <f>+$K$21*H20</f>
        <v>184036425.07546335</v>
      </c>
      <c r="I21" s="191">
        <f t="shared" si="0"/>
        <v>382534919.41811794</v>
      </c>
      <c r="J21" s="192">
        <v>8149263</v>
      </c>
      <c r="K21" s="194">
        <f>+J21/J20</f>
        <v>0.34327359636001037</v>
      </c>
    </row>
    <row r="22" spans="1:11" ht="12.75" customHeight="1">
      <c r="A22" s="203" t="s">
        <v>136</v>
      </c>
      <c r="B22" s="204"/>
      <c r="C22" s="206" t="s">
        <v>172</v>
      </c>
      <c r="D22" s="191">
        <f>+$K$22*D20</f>
        <v>11482214.948864035</v>
      </c>
      <c r="E22" s="191">
        <f>+$K$22*E20</f>
        <v>17141137.05423893</v>
      </c>
      <c r="F22" s="191">
        <f>+$K$22*F20</f>
        <v>4992776.274927497</v>
      </c>
      <c r="G22" s="191">
        <f>+$K$22*G20</f>
        <v>1058657044.1952101</v>
      </c>
      <c r="H22" s="191">
        <f>+$K$22*H20</f>
        <v>352085277.9245366</v>
      </c>
      <c r="I22" s="191">
        <f t="shared" si="0"/>
        <v>731838348.6526717</v>
      </c>
      <c r="J22" s="192">
        <v>15590585</v>
      </c>
      <c r="K22" s="194">
        <f>+J22/J20</f>
        <v>0.6567264036399896</v>
      </c>
    </row>
    <row r="23" spans="1:11" ht="12.75" customHeight="1">
      <c r="A23" s="203">
        <v>12</v>
      </c>
      <c r="B23" s="204"/>
      <c r="C23" s="205" t="s">
        <v>51</v>
      </c>
      <c r="D23" s="285">
        <v>7847</v>
      </c>
      <c r="E23" s="215">
        <v>274873</v>
      </c>
      <c r="F23" s="215">
        <v>14977</v>
      </c>
      <c r="G23" s="215">
        <v>64402713</v>
      </c>
      <c r="H23" s="215">
        <v>4701725</v>
      </c>
      <c r="I23" s="215">
        <f t="shared" si="0"/>
        <v>1870838.4508745903</v>
      </c>
      <c r="J23" s="190"/>
      <c r="K23" s="195"/>
    </row>
    <row r="24" spans="1:11" ht="12.75" customHeight="1">
      <c r="A24" s="203" t="s">
        <v>89</v>
      </c>
      <c r="B24" s="204"/>
      <c r="C24" s="205" t="s">
        <v>52</v>
      </c>
      <c r="D24" s="191">
        <f>+D25+D26</f>
        <v>9241480</v>
      </c>
      <c r="E24" s="191">
        <f>+E25+E26</f>
        <v>182010266</v>
      </c>
      <c r="F24" s="191">
        <f>+F25+F26</f>
        <v>33439313</v>
      </c>
      <c r="G24" s="191">
        <f>+G25+G26</f>
        <v>26402392773</v>
      </c>
      <c r="H24" s="191">
        <f>+H25+H26</f>
        <v>4703365922</v>
      </c>
      <c r="I24" s="191">
        <f t="shared" si="0"/>
        <v>1334248357.3136554</v>
      </c>
      <c r="J24" s="192"/>
      <c r="K24" s="194"/>
    </row>
    <row r="25" spans="1:11" ht="12.75" customHeight="1">
      <c r="A25" s="203" t="s">
        <v>137</v>
      </c>
      <c r="B25" s="204"/>
      <c r="C25" s="206" t="s">
        <v>166</v>
      </c>
      <c r="D25" s="285">
        <v>6562845</v>
      </c>
      <c r="E25" s="215">
        <v>125435925</v>
      </c>
      <c r="F25" s="215">
        <v>21599946</v>
      </c>
      <c r="G25" s="215">
        <v>16672903585</v>
      </c>
      <c r="H25" s="215">
        <v>2845657308</v>
      </c>
      <c r="I25" s="215">
        <f t="shared" si="0"/>
        <v>871197544.4673674</v>
      </c>
      <c r="J25" s="192"/>
      <c r="K25" s="195"/>
    </row>
    <row r="26" spans="1:11" ht="12.75" customHeight="1">
      <c r="A26" s="203" t="s">
        <v>159</v>
      </c>
      <c r="B26" s="204"/>
      <c r="C26" s="206" t="s">
        <v>167</v>
      </c>
      <c r="D26" s="285">
        <v>2678635</v>
      </c>
      <c r="E26" s="215">
        <v>56574341</v>
      </c>
      <c r="F26" s="215">
        <v>11839367</v>
      </c>
      <c r="G26" s="215">
        <v>9729489188</v>
      </c>
      <c r="H26" s="215">
        <v>1857708614</v>
      </c>
      <c r="I26" s="215">
        <f t="shared" si="0"/>
        <v>453679160.09406</v>
      </c>
      <c r="J26" s="192"/>
      <c r="K26" s="195"/>
    </row>
    <row r="27" spans="1:11" ht="12.75" customHeight="1">
      <c r="A27" s="203">
        <v>18</v>
      </c>
      <c r="B27" s="204"/>
      <c r="C27" s="205" t="s">
        <v>53</v>
      </c>
      <c r="D27" s="285">
        <v>1081888</v>
      </c>
      <c r="E27" s="215">
        <v>12886728</v>
      </c>
      <c r="F27" s="215">
        <v>5389031</v>
      </c>
      <c r="G27" s="215">
        <v>1668560813</v>
      </c>
      <c r="H27" s="215">
        <v>693376793</v>
      </c>
      <c r="I27" s="215">
        <f t="shared" si="0"/>
        <v>139821933.1235506</v>
      </c>
      <c r="J27" s="192">
        <f>+J28+J29</f>
        <v>9507019</v>
      </c>
      <c r="K27" s="194">
        <f>+K28+K29</f>
        <v>1</v>
      </c>
    </row>
    <row r="28" spans="1:11" ht="12.75" customHeight="1">
      <c r="A28" s="203" t="s">
        <v>138</v>
      </c>
      <c r="B28" s="204"/>
      <c r="C28" s="206" t="s">
        <v>168</v>
      </c>
      <c r="D28" s="191">
        <f>+$K$28*D27</f>
        <v>968570.8426348995</v>
      </c>
      <c r="E28" s="191">
        <f>+$K$28*E27</f>
        <v>11536969.628803309</v>
      </c>
      <c r="F28" s="191">
        <f>+$K$28*F27</f>
        <v>4824582.855762884</v>
      </c>
      <c r="G28" s="191">
        <f>+$K$28*G27</f>
        <v>1493795432.2767081</v>
      </c>
      <c r="H28" s="191">
        <f>+$K$28*H27</f>
        <v>620752374.2379011</v>
      </c>
      <c r="I28" s="191">
        <f t="shared" si="0"/>
        <v>125176956.93483798</v>
      </c>
      <c r="J28" s="192">
        <v>8511252</v>
      </c>
      <c r="K28" s="195">
        <f>+J28/J27</f>
        <v>0.8952598075169514</v>
      </c>
    </row>
    <row r="29" spans="1:11" ht="12.75" customHeight="1">
      <c r="A29" s="203" t="s">
        <v>139</v>
      </c>
      <c r="B29" s="204"/>
      <c r="C29" s="206" t="s">
        <v>169</v>
      </c>
      <c r="D29" s="191">
        <f>+$K$29*D27</f>
        <v>113317.15736510046</v>
      </c>
      <c r="E29" s="191">
        <f>+$K$29*E27</f>
        <v>1349758.3711966916</v>
      </c>
      <c r="F29" s="191">
        <f>+$K$29*F27</f>
        <v>564448.1442371157</v>
      </c>
      <c r="G29" s="191">
        <f>+$K$29*G27</f>
        <v>174765380.72329202</v>
      </c>
      <c r="H29" s="191">
        <f>+$K$29*H27</f>
        <v>72624418.76209894</v>
      </c>
      <c r="I29" s="191">
        <f t="shared" si="0"/>
        <v>14644976.188712636</v>
      </c>
      <c r="J29" s="192">
        <v>995767</v>
      </c>
      <c r="K29" s="195">
        <f>+J29/J27</f>
        <v>0.10474019248304858</v>
      </c>
    </row>
    <row r="30" spans="1:11" ht="12.75" customHeight="1">
      <c r="A30" s="203" t="s">
        <v>176</v>
      </c>
      <c r="B30" s="204"/>
      <c r="C30" s="206" t="s">
        <v>154</v>
      </c>
      <c r="D30" s="191">
        <f>+D31+D34</f>
        <v>12804794</v>
      </c>
      <c r="E30" s="191">
        <f>+E31+E34</f>
        <v>109362203</v>
      </c>
      <c r="F30" s="191">
        <f>+F31+F34</f>
        <v>13078988</v>
      </c>
      <c r="G30" s="191">
        <f>+G31+G34</f>
        <v>13866736020</v>
      </c>
      <c r="H30" s="191">
        <f>+H31+H34</f>
        <v>1753228278</v>
      </c>
      <c r="I30" s="191">
        <f t="shared" si="0"/>
        <v>1633522375.0252855</v>
      </c>
      <c r="J30" s="196"/>
      <c r="K30" s="197"/>
    </row>
    <row r="31" spans="1:11" ht="12.75" customHeight="1">
      <c r="A31" s="203">
        <v>19.2</v>
      </c>
      <c r="B31" s="204"/>
      <c r="C31" s="205" t="s">
        <v>54</v>
      </c>
      <c r="D31" s="285">
        <v>9971672</v>
      </c>
      <c r="E31" s="215">
        <v>102325772</v>
      </c>
      <c r="F31" s="215">
        <v>12734879</v>
      </c>
      <c r="G31" s="215">
        <v>13131964195</v>
      </c>
      <c r="H31" s="215">
        <v>1700292076</v>
      </c>
      <c r="I31" s="215">
        <f t="shared" si="0"/>
        <v>1285429843.0343063</v>
      </c>
      <c r="J31" s="198"/>
      <c r="K31" s="199"/>
    </row>
    <row r="32" spans="1:11" ht="12.75" customHeight="1">
      <c r="A32" s="203" t="s">
        <v>177</v>
      </c>
      <c r="B32" s="204"/>
      <c r="C32" s="205" t="s">
        <v>155</v>
      </c>
      <c r="D32" s="193">
        <f>+D33+D35</f>
        <v>2474353</v>
      </c>
      <c r="E32" s="193">
        <f>+E33+E35</f>
        <v>54413236</v>
      </c>
      <c r="F32" s="193">
        <f>+F33+F35</f>
        <v>6375017</v>
      </c>
      <c r="G32" s="193">
        <f>+G33+G35</f>
        <v>7022941535</v>
      </c>
      <c r="H32" s="193">
        <f>+H33+H35</f>
        <v>808981766</v>
      </c>
      <c r="I32" s="193">
        <f t="shared" si="0"/>
        <v>318794207.0912821</v>
      </c>
      <c r="J32" s="198"/>
      <c r="K32" s="216"/>
    </row>
    <row r="33" spans="1:11" ht="12.75" customHeight="1">
      <c r="A33" s="203">
        <v>19.4</v>
      </c>
      <c r="B33" s="204"/>
      <c r="C33" s="205" t="s">
        <v>55</v>
      </c>
      <c r="D33" s="285">
        <v>2266673</v>
      </c>
      <c r="E33" s="215">
        <v>52655681</v>
      </c>
      <c r="F33" s="215">
        <v>6189132</v>
      </c>
      <c r="G33" s="215">
        <v>6793127815</v>
      </c>
      <c r="H33" s="215">
        <v>785242068</v>
      </c>
      <c r="I33" s="215">
        <f t="shared" si="0"/>
        <v>291915047.76825887</v>
      </c>
      <c r="J33" s="198"/>
      <c r="K33" s="216"/>
    </row>
    <row r="34" spans="1:11" ht="12.75" customHeight="1">
      <c r="A34" s="203">
        <v>21.1</v>
      </c>
      <c r="B34" s="204"/>
      <c r="C34" s="205" t="s">
        <v>56</v>
      </c>
      <c r="D34" s="285">
        <v>2833122</v>
      </c>
      <c r="E34" s="215">
        <v>7036431</v>
      </c>
      <c r="F34" s="215">
        <v>344109</v>
      </c>
      <c r="G34" s="215">
        <v>734771825</v>
      </c>
      <c r="H34" s="215">
        <v>52936202</v>
      </c>
      <c r="I34" s="215">
        <f t="shared" si="0"/>
        <v>302372582.61188126</v>
      </c>
      <c r="J34" s="198"/>
      <c r="K34" s="216"/>
    </row>
    <row r="35" spans="1:11" ht="12.75" customHeight="1">
      <c r="A35" s="203">
        <v>21.2</v>
      </c>
      <c r="B35" s="204"/>
      <c r="C35" s="205" t="s">
        <v>57</v>
      </c>
      <c r="D35" s="285">
        <v>207680</v>
      </c>
      <c r="E35" s="215">
        <v>1757555</v>
      </c>
      <c r="F35" s="215">
        <v>185885</v>
      </c>
      <c r="G35" s="215">
        <v>229813720</v>
      </c>
      <c r="H35" s="215">
        <v>23739698</v>
      </c>
      <c r="I35" s="215">
        <f t="shared" si="0"/>
        <v>27095240.32140946</v>
      </c>
      <c r="J35" s="198"/>
      <c r="K35" s="216"/>
    </row>
    <row r="36" spans="1:11" ht="12.75" customHeight="1">
      <c r="A36" s="207">
        <v>22</v>
      </c>
      <c r="B36" s="204"/>
      <c r="C36" s="205" t="s">
        <v>58</v>
      </c>
      <c r="D36" s="285">
        <v>141323</v>
      </c>
      <c r="E36" s="215">
        <v>2550423</v>
      </c>
      <c r="F36" s="215">
        <v>370153</v>
      </c>
      <c r="G36" s="215">
        <v>251428267</v>
      </c>
      <c r="H36" s="215">
        <v>42195376</v>
      </c>
      <c r="I36" s="215">
        <f t="shared" si="0"/>
        <v>14208078.851462519</v>
      </c>
      <c r="J36" s="198"/>
      <c r="K36" s="216"/>
    </row>
    <row r="37" spans="1:11" ht="12.75" customHeight="1">
      <c r="A37" s="207">
        <v>23</v>
      </c>
      <c r="B37" s="204"/>
      <c r="C37" s="205" t="s">
        <v>59</v>
      </c>
      <c r="D37" s="285">
        <v>84826</v>
      </c>
      <c r="E37" s="215">
        <v>1198667</v>
      </c>
      <c r="F37" s="215">
        <v>122812</v>
      </c>
      <c r="G37" s="215">
        <v>144967607</v>
      </c>
      <c r="H37" s="215">
        <v>13973238</v>
      </c>
      <c r="I37" s="215">
        <f t="shared" si="0"/>
        <v>10202444.471663946</v>
      </c>
      <c r="J37" s="198"/>
      <c r="K37" s="216"/>
    </row>
    <row r="38" spans="1:11" ht="12.75" customHeight="1">
      <c r="A38" s="207">
        <v>24</v>
      </c>
      <c r="B38" s="204"/>
      <c r="C38" s="205" t="s">
        <v>60</v>
      </c>
      <c r="D38" s="285">
        <v>268697</v>
      </c>
      <c r="E38" s="215">
        <v>3613853</v>
      </c>
      <c r="F38" s="215">
        <v>570734</v>
      </c>
      <c r="G38" s="215">
        <v>409609640</v>
      </c>
      <c r="H38" s="215">
        <v>58728029</v>
      </c>
      <c r="I38" s="215">
        <f t="shared" si="0"/>
        <v>30072484.249292225</v>
      </c>
      <c r="J38" s="198"/>
      <c r="K38" s="216"/>
    </row>
    <row r="39" spans="1:11" ht="12.75" customHeight="1">
      <c r="A39" s="207">
        <v>26</v>
      </c>
      <c r="B39" s="204"/>
      <c r="C39" s="205" t="s">
        <v>61</v>
      </c>
      <c r="D39" s="285">
        <v>28880</v>
      </c>
      <c r="E39" s="215">
        <v>320254</v>
      </c>
      <c r="F39" s="215">
        <v>32612</v>
      </c>
      <c r="G39" s="215">
        <v>41428198</v>
      </c>
      <c r="H39" s="215">
        <v>3949110</v>
      </c>
      <c r="I39" s="215">
        <f t="shared" si="0"/>
        <v>3713864.9091723203</v>
      </c>
      <c r="J39" s="198"/>
      <c r="K39" s="216"/>
    </row>
    <row r="40" spans="1:11" ht="12.75" customHeight="1">
      <c r="A40" s="207">
        <v>27</v>
      </c>
      <c r="B40" s="204"/>
      <c r="C40" s="205" t="s">
        <v>62</v>
      </c>
      <c r="D40" s="285">
        <v>33248</v>
      </c>
      <c r="E40" s="215">
        <v>1051074</v>
      </c>
      <c r="F40" s="215">
        <v>27912</v>
      </c>
      <c r="G40" s="215">
        <v>74767451</v>
      </c>
      <c r="H40" s="215">
        <v>2754775</v>
      </c>
      <c r="I40" s="215">
        <f t="shared" si="0"/>
        <v>2388778.8813274684</v>
      </c>
      <c r="J40" s="198"/>
      <c r="K40" s="216"/>
    </row>
    <row r="41" spans="1:11" ht="12.75" customHeight="1">
      <c r="A41" s="203" t="s">
        <v>100</v>
      </c>
      <c r="B41" s="204"/>
      <c r="C41" s="205" t="s">
        <v>63</v>
      </c>
      <c r="D41" s="285">
        <v>39434</v>
      </c>
      <c r="E41" s="215">
        <v>1020459</v>
      </c>
      <c r="F41" s="215">
        <v>56745</v>
      </c>
      <c r="G41" s="215">
        <v>89448699</v>
      </c>
      <c r="H41" s="215">
        <v>5352541</v>
      </c>
      <c r="I41" s="215">
        <f t="shared" si="0"/>
        <v>3470458.797182335</v>
      </c>
      <c r="J41" s="198"/>
      <c r="K41" s="216"/>
    </row>
    <row r="42" spans="1:11" ht="12.75" customHeight="1">
      <c r="A42" s="203" t="s">
        <v>157</v>
      </c>
      <c r="B42" s="204"/>
      <c r="C42" s="205" t="s">
        <v>156</v>
      </c>
      <c r="D42" s="285">
        <v>2714</v>
      </c>
      <c r="E42" s="215">
        <v>280129</v>
      </c>
      <c r="F42" s="215">
        <v>1143</v>
      </c>
      <c r="G42" s="215">
        <v>25882881</v>
      </c>
      <c r="H42" s="215">
        <v>217203</v>
      </c>
      <c r="I42" s="215">
        <f t="shared" si="0"/>
        <v>251840.3110725561</v>
      </c>
      <c r="J42" s="198"/>
      <c r="K42" s="216"/>
    </row>
    <row r="43" spans="1:11" ht="12.75" customHeight="1" thickBot="1">
      <c r="A43" s="208" t="s">
        <v>102</v>
      </c>
      <c r="B43" s="209"/>
      <c r="C43" s="210" t="s">
        <v>64</v>
      </c>
      <c r="D43" s="286">
        <v>66640</v>
      </c>
      <c r="E43" s="217">
        <v>366061</v>
      </c>
      <c r="F43" s="217">
        <v>125763</v>
      </c>
      <c r="G43" s="217">
        <v>96298052</v>
      </c>
      <c r="H43" s="217">
        <v>10528730</v>
      </c>
      <c r="I43" s="217">
        <f t="shared" si="0"/>
        <v>14474561.535183318</v>
      </c>
      <c r="J43" s="218"/>
      <c r="K43" s="219"/>
    </row>
    <row r="44" spans="1:11" s="90" customFormat="1" ht="12.75" customHeight="1" thickBot="1">
      <c r="A44" s="88"/>
      <c r="B44" s="88"/>
      <c r="C44" s="89"/>
      <c r="D44" s="132"/>
      <c r="E44" s="133"/>
      <c r="F44" s="133"/>
      <c r="G44" s="133"/>
      <c r="H44" s="133"/>
      <c r="I44" s="133"/>
      <c r="J44" s="134"/>
      <c r="K44" s="135"/>
    </row>
    <row r="45" spans="1:11" s="94" customFormat="1" ht="21" customHeight="1" thickBot="1">
      <c r="A45" s="91"/>
      <c r="B45" s="92"/>
      <c r="C45" s="93" t="s">
        <v>65</v>
      </c>
      <c r="D45" s="136">
        <f>SUM(D10:D43)-D16-D20-D24-D27-D30-D32</f>
        <v>51913045</v>
      </c>
      <c r="E45" s="136">
        <f>SUM(E10:E43)-E16-E20-E24-E27-E30-E32</f>
        <v>516997080</v>
      </c>
      <c r="F45" s="136">
        <f>SUM(F10:F43)-F16-F20-F24-F27-F30-F32</f>
        <v>82787330</v>
      </c>
      <c r="G45" s="136">
        <f>SUM(G10:G43)-G16-G20-G24-G27-G30-G32</f>
        <v>65247557784</v>
      </c>
      <c r="H45" s="136">
        <f>SUM(H10:H43)-H16-H20-H24-H27-H30-H32</f>
        <v>10546137624</v>
      </c>
      <c r="I45" s="136">
        <f>+D45*(G45+H45)/(E45+F45)</f>
        <v>6560159708.772352</v>
      </c>
      <c r="J45" s="137"/>
      <c r="K45" s="138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- 8/18/2022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6384" width="9.28125" style="70" customWidth="1"/>
  </cols>
  <sheetData>
    <row r="1" spans="1:11" ht="46.5" customHeight="1">
      <c r="A1" s="314" t="s">
        <v>204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" customHeight="1">
      <c r="A2" s="278"/>
      <c r="B2" s="278"/>
      <c r="C2" s="278"/>
      <c r="D2" s="307"/>
      <c r="E2" s="307"/>
      <c r="F2" s="307"/>
      <c r="G2" s="307"/>
      <c r="H2" s="307"/>
      <c r="I2" s="307"/>
      <c r="J2" s="307"/>
      <c r="K2" s="307"/>
    </row>
    <row r="3" spans="1:11" ht="15" customHeight="1" thickBot="1">
      <c r="A3" s="278"/>
      <c r="B3" s="278"/>
      <c r="C3" s="278"/>
      <c r="D3" s="310"/>
      <c r="E3" s="310"/>
      <c r="F3" s="310"/>
      <c r="G3" s="310"/>
      <c r="H3" s="310"/>
      <c r="I3" s="307"/>
      <c r="J3" s="310"/>
      <c r="K3" s="278"/>
    </row>
    <row r="4" spans="1:11" s="75" customFormat="1" ht="11.2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</row>
    <row r="5" spans="1:11" ht="12.75">
      <c r="A5" s="76"/>
      <c r="B5" s="77"/>
      <c r="C5" s="78"/>
      <c r="D5" s="79">
        <v>2020</v>
      </c>
      <c r="E5" s="79">
        <v>2020</v>
      </c>
      <c r="F5" s="79">
        <v>2020</v>
      </c>
      <c r="G5" s="79">
        <v>2020</v>
      </c>
      <c r="H5" s="79">
        <v>2020</v>
      </c>
      <c r="I5" s="79">
        <v>2020</v>
      </c>
      <c r="J5" s="79">
        <v>2020</v>
      </c>
      <c r="K5" s="80">
        <v>2020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 customHeight="1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1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11" t="s">
        <v>116</v>
      </c>
      <c r="J8" s="84" t="s">
        <v>108</v>
      </c>
      <c r="K8" s="85"/>
    </row>
    <row r="9" spans="1:11" ht="11.25" customHeight="1" thickBot="1">
      <c r="A9" s="77"/>
      <c r="B9" s="77"/>
      <c r="C9" s="87"/>
      <c r="D9" s="297"/>
      <c r="E9" s="297"/>
      <c r="F9" s="297"/>
      <c r="G9" s="297"/>
      <c r="H9" s="297"/>
      <c r="I9" s="297"/>
      <c r="J9" s="297"/>
      <c r="K9" s="297"/>
    </row>
    <row r="10" spans="1:11" ht="12.75" customHeight="1">
      <c r="A10" s="200" t="s">
        <v>76</v>
      </c>
      <c r="B10" s="201"/>
      <c r="C10" s="202" t="s">
        <v>41</v>
      </c>
      <c r="D10" s="284">
        <v>315528</v>
      </c>
      <c r="E10" s="212">
        <v>9747851</v>
      </c>
      <c r="F10" s="212">
        <v>388782</v>
      </c>
      <c r="G10" s="212">
        <v>1462832833</v>
      </c>
      <c r="H10" s="212">
        <v>47901638</v>
      </c>
      <c r="I10" s="212">
        <f aca="true" t="shared" si="0" ref="I10:I43">+D10*(G10+H10)/(E10+F10)</f>
        <v>47025380.732013084</v>
      </c>
      <c r="J10" s="213"/>
      <c r="K10" s="214"/>
    </row>
    <row r="11" spans="1:11" ht="12.75" customHeight="1">
      <c r="A11" s="203" t="s">
        <v>77</v>
      </c>
      <c r="B11" s="204"/>
      <c r="C11" s="205" t="s">
        <v>42</v>
      </c>
      <c r="D11" s="285">
        <v>405692</v>
      </c>
      <c r="E11" s="215">
        <v>11661875</v>
      </c>
      <c r="F11" s="215">
        <v>491371</v>
      </c>
      <c r="G11" s="215">
        <v>753688702</v>
      </c>
      <c r="H11" s="215">
        <v>29609539</v>
      </c>
      <c r="I11" s="215">
        <f t="shared" si="0"/>
        <v>26147568.3111962</v>
      </c>
      <c r="J11" s="198"/>
      <c r="K11" s="216"/>
    </row>
    <row r="12" spans="1:11" ht="12.75" customHeight="1">
      <c r="A12" s="203" t="s">
        <v>180</v>
      </c>
      <c r="B12" s="204"/>
      <c r="C12" s="205" t="s">
        <v>181</v>
      </c>
      <c r="D12" s="285">
        <v>3483</v>
      </c>
      <c r="E12" s="215">
        <v>201689</v>
      </c>
      <c r="F12" s="215">
        <v>393</v>
      </c>
      <c r="G12" s="215">
        <v>5380786</v>
      </c>
      <c r="H12" s="215">
        <v>4</v>
      </c>
      <c r="I12" s="215">
        <f t="shared" si="0"/>
        <v>92741.02379232192</v>
      </c>
      <c r="J12" s="198"/>
      <c r="K12" s="216"/>
    </row>
    <row r="13" spans="1:11" ht="12.75" customHeight="1">
      <c r="A13" s="203" t="s">
        <v>182</v>
      </c>
      <c r="B13" s="204"/>
      <c r="C13" s="205" t="s">
        <v>183</v>
      </c>
      <c r="D13" s="285">
        <v>7037</v>
      </c>
      <c r="E13" s="215">
        <v>399371</v>
      </c>
      <c r="F13" s="215">
        <v>13550</v>
      </c>
      <c r="G13" s="215">
        <v>23548405</v>
      </c>
      <c r="H13" s="215">
        <v>583331</v>
      </c>
      <c r="I13" s="215">
        <f t="shared" si="0"/>
        <v>411253.0634964073</v>
      </c>
      <c r="J13" s="198"/>
      <c r="K13" s="216"/>
    </row>
    <row r="14" spans="1:11" ht="12.75" customHeight="1">
      <c r="A14" s="203" t="s">
        <v>78</v>
      </c>
      <c r="B14" s="204"/>
      <c r="C14" s="205" t="s">
        <v>43</v>
      </c>
      <c r="D14" s="285">
        <v>87869</v>
      </c>
      <c r="E14" s="215">
        <v>1387863</v>
      </c>
      <c r="F14" s="215">
        <v>123719</v>
      </c>
      <c r="G14" s="215">
        <v>213492499</v>
      </c>
      <c r="H14" s="215">
        <v>25828094</v>
      </c>
      <c r="I14" s="215">
        <f t="shared" si="0"/>
        <v>13911822.968464166</v>
      </c>
      <c r="J14" s="198"/>
      <c r="K14" s="216"/>
    </row>
    <row r="15" spans="1:11" ht="12.75" customHeight="1">
      <c r="A15" s="203" t="s">
        <v>79</v>
      </c>
      <c r="B15" s="204"/>
      <c r="C15" s="205" t="s">
        <v>44</v>
      </c>
      <c r="D15" s="285">
        <v>3931418</v>
      </c>
      <c r="E15" s="215">
        <v>34795665</v>
      </c>
      <c r="F15" s="215">
        <v>2742150</v>
      </c>
      <c r="G15" s="215">
        <v>5655536229</v>
      </c>
      <c r="H15" s="215">
        <v>403188704</v>
      </c>
      <c r="I15" s="215">
        <f t="shared" si="0"/>
        <v>634543599.7978303</v>
      </c>
      <c r="J15" s="198"/>
      <c r="K15" s="216"/>
    </row>
    <row r="16" spans="1:11" ht="12.75" customHeight="1">
      <c r="A16" s="203" t="s">
        <v>142</v>
      </c>
      <c r="B16" s="204"/>
      <c r="C16" s="206" t="s">
        <v>141</v>
      </c>
      <c r="D16" s="191">
        <f>+D17+D18</f>
        <v>2580762</v>
      </c>
      <c r="E16" s="191">
        <f>+E17+E18</f>
        <v>41891738</v>
      </c>
      <c r="F16" s="191">
        <f>+F17+F18</f>
        <v>10492166</v>
      </c>
      <c r="G16" s="191">
        <f>+G17+G18</f>
        <v>5201767749</v>
      </c>
      <c r="H16" s="191">
        <f>+H17+H18</f>
        <v>1357201889</v>
      </c>
      <c r="I16" s="191">
        <f t="shared" si="0"/>
        <v>323136274.85466063</v>
      </c>
      <c r="J16" s="198"/>
      <c r="K16" s="216"/>
    </row>
    <row r="17" spans="1:11" ht="12.75" customHeight="1">
      <c r="A17" s="203" t="s">
        <v>80</v>
      </c>
      <c r="B17" s="204"/>
      <c r="C17" s="206" t="s">
        <v>45</v>
      </c>
      <c r="D17" s="285">
        <v>914668</v>
      </c>
      <c r="E17" s="215">
        <v>14448882</v>
      </c>
      <c r="F17" s="215">
        <v>1115059</v>
      </c>
      <c r="G17" s="215">
        <v>1662584480</v>
      </c>
      <c r="H17" s="215">
        <v>147059659</v>
      </c>
      <c r="I17" s="215">
        <f t="shared" si="0"/>
        <v>106349901.05210833</v>
      </c>
      <c r="J17" s="198"/>
      <c r="K17" s="216"/>
    </row>
    <row r="18" spans="1:11" ht="12.75" customHeight="1">
      <c r="A18" s="203" t="s">
        <v>81</v>
      </c>
      <c r="B18" s="204"/>
      <c r="C18" s="206" t="s">
        <v>46</v>
      </c>
      <c r="D18" s="285">
        <v>1666094</v>
      </c>
      <c r="E18" s="215">
        <v>27442856</v>
      </c>
      <c r="F18" s="215">
        <v>9377107</v>
      </c>
      <c r="G18" s="215">
        <v>3539183269</v>
      </c>
      <c r="H18" s="215">
        <v>1210142230</v>
      </c>
      <c r="I18" s="215">
        <f t="shared" si="0"/>
        <v>214905775.92190698</v>
      </c>
      <c r="J18" s="198"/>
      <c r="K18" s="216"/>
    </row>
    <row r="19" spans="1:11" ht="12.75" customHeight="1">
      <c r="A19" s="203" t="s">
        <v>85</v>
      </c>
      <c r="B19" s="204"/>
      <c r="C19" s="205" t="s">
        <v>48</v>
      </c>
      <c r="D19" s="285">
        <v>355454</v>
      </c>
      <c r="E19" s="215">
        <v>7553521</v>
      </c>
      <c r="F19" s="215">
        <v>381636</v>
      </c>
      <c r="G19" s="215">
        <v>1043342911</v>
      </c>
      <c r="H19" s="215">
        <v>50723016</v>
      </c>
      <c r="I19" s="215">
        <f t="shared" si="0"/>
        <v>49008495.990168564</v>
      </c>
      <c r="J19" s="198"/>
      <c r="K19" s="216"/>
    </row>
    <row r="20" spans="1:11" ht="12.75" customHeight="1">
      <c r="A20" s="203" t="s">
        <v>87</v>
      </c>
      <c r="B20" s="204"/>
      <c r="C20" s="206" t="s">
        <v>158</v>
      </c>
      <c r="D20" s="285">
        <v>1260064</v>
      </c>
      <c r="E20" s="215">
        <v>24176098</v>
      </c>
      <c r="F20" s="215">
        <v>7223302</v>
      </c>
      <c r="G20" s="215">
        <v>1459190328</v>
      </c>
      <c r="H20" s="215">
        <v>485169999</v>
      </c>
      <c r="I20" s="215">
        <f t="shared" si="0"/>
        <v>78027556.29346192</v>
      </c>
      <c r="J20" s="192">
        <f>SUM(J21:J22)</f>
        <v>21700016</v>
      </c>
      <c r="K20" s="194">
        <f>SUM(K21:K22)</f>
        <v>1</v>
      </c>
    </row>
    <row r="21" spans="1:11" ht="12.75" customHeight="1">
      <c r="A21" s="203" t="s">
        <v>135</v>
      </c>
      <c r="B21" s="204"/>
      <c r="C21" s="206" t="s">
        <v>165</v>
      </c>
      <c r="D21" s="191">
        <f>+$K$21*D20</f>
        <v>449888.5057175995</v>
      </c>
      <c r="E21" s="191">
        <f>+$K$21*E20</f>
        <v>8631742.993452908</v>
      </c>
      <c r="F21" s="191">
        <f>+$K$21*F20</f>
        <v>2578980.54632697</v>
      </c>
      <c r="G21" s="191">
        <f>+$K$21*G20</f>
        <v>520983820.0452468</v>
      </c>
      <c r="H21" s="191">
        <f>+$K$21*H20</f>
        <v>173223269.5078339</v>
      </c>
      <c r="I21" s="191">
        <f t="shared" si="0"/>
        <v>27858664.881832555</v>
      </c>
      <c r="J21" s="192">
        <v>7747692</v>
      </c>
      <c r="K21" s="194">
        <f>+J21/J20</f>
        <v>0.35703623444332944</v>
      </c>
    </row>
    <row r="22" spans="1:11" ht="12.75" customHeight="1">
      <c r="A22" s="203" t="s">
        <v>136</v>
      </c>
      <c r="B22" s="204"/>
      <c r="C22" s="206" t="s">
        <v>172</v>
      </c>
      <c r="D22" s="191">
        <f>+$K$22*D20</f>
        <v>810175.4942824006</v>
      </c>
      <c r="E22" s="191">
        <f>+$K$22*E20</f>
        <v>15544355.006547092</v>
      </c>
      <c r="F22" s="191">
        <f>+$K$22*F20</f>
        <v>4644321.453673029</v>
      </c>
      <c r="G22" s="191">
        <f>+$K$22*G20</f>
        <v>938206507.9547533</v>
      </c>
      <c r="H22" s="191">
        <f>+$K$22*H20</f>
        <v>311946729.4921661</v>
      </c>
      <c r="I22" s="191">
        <f t="shared" si="0"/>
        <v>50168891.41162937</v>
      </c>
      <c r="J22" s="192">
        <v>13952324</v>
      </c>
      <c r="K22" s="194">
        <f>+J22/J20</f>
        <v>0.6429637655566706</v>
      </c>
    </row>
    <row r="23" spans="1:11" ht="12.75" customHeight="1">
      <c r="A23" s="203">
        <v>12</v>
      </c>
      <c r="B23" s="204"/>
      <c r="C23" s="205" t="s">
        <v>51</v>
      </c>
      <c r="D23" s="285">
        <v>22164</v>
      </c>
      <c r="E23" s="215">
        <v>319991</v>
      </c>
      <c r="F23" s="215">
        <v>13200</v>
      </c>
      <c r="G23" s="215">
        <v>64851003</v>
      </c>
      <c r="H23" s="215">
        <v>5017033</v>
      </c>
      <c r="I23" s="215">
        <f t="shared" si="0"/>
        <v>4647649.996260404</v>
      </c>
      <c r="J23" s="190"/>
      <c r="K23" s="195"/>
    </row>
    <row r="24" spans="1:11" ht="12.75" customHeight="1">
      <c r="A24" s="203" t="s">
        <v>89</v>
      </c>
      <c r="B24" s="204"/>
      <c r="C24" s="205" t="s">
        <v>52</v>
      </c>
      <c r="D24" s="191">
        <f>+D25+D26</f>
        <v>7889129</v>
      </c>
      <c r="E24" s="191">
        <f>+E25+E26</f>
        <v>161687145</v>
      </c>
      <c r="F24" s="191">
        <f>+F25+F26</f>
        <v>31113447</v>
      </c>
      <c r="G24" s="191">
        <f>+G25+G26</f>
        <v>22769407043</v>
      </c>
      <c r="H24" s="191">
        <f>+H25+H26</f>
        <v>4291089924</v>
      </c>
      <c r="I24" s="191">
        <f t="shared" si="0"/>
        <v>1107277468.197669</v>
      </c>
      <c r="J24" s="192"/>
      <c r="K24" s="194"/>
    </row>
    <row r="25" spans="1:11" ht="12.75" customHeight="1">
      <c r="A25" s="203" t="s">
        <v>137</v>
      </c>
      <c r="B25" s="204"/>
      <c r="C25" s="206" t="s">
        <v>166</v>
      </c>
      <c r="D25" s="285">
        <v>5651172</v>
      </c>
      <c r="E25" s="215">
        <v>113497021</v>
      </c>
      <c r="F25" s="215">
        <v>20452790</v>
      </c>
      <c r="G25" s="215">
        <v>14912204059</v>
      </c>
      <c r="H25" s="215">
        <v>2676588582</v>
      </c>
      <c r="I25" s="215">
        <f t="shared" si="0"/>
        <v>742048769.9428351</v>
      </c>
      <c r="J25" s="192"/>
      <c r="K25" s="195"/>
    </row>
    <row r="26" spans="1:11" ht="12.75" customHeight="1">
      <c r="A26" s="203" t="s">
        <v>159</v>
      </c>
      <c r="B26" s="204"/>
      <c r="C26" s="206" t="s">
        <v>167</v>
      </c>
      <c r="D26" s="285">
        <v>2237957</v>
      </c>
      <c r="E26" s="215">
        <v>48190124</v>
      </c>
      <c r="F26" s="215">
        <v>10660657</v>
      </c>
      <c r="G26" s="215">
        <v>7857202984</v>
      </c>
      <c r="H26" s="215">
        <v>1614501342</v>
      </c>
      <c r="I26" s="215">
        <f t="shared" si="0"/>
        <v>360186672.76993287</v>
      </c>
      <c r="J26" s="192"/>
      <c r="K26" s="195"/>
    </row>
    <row r="27" spans="1:11" ht="12.75" customHeight="1">
      <c r="A27" s="203">
        <v>18</v>
      </c>
      <c r="B27" s="204"/>
      <c r="C27" s="205" t="s">
        <v>53</v>
      </c>
      <c r="D27" s="285">
        <v>1010089</v>
      </c>
      <c r="E27" s="215">
        <v>12156981</v>
      </c>
      <c r="F27" s="215">
        <v>5239530</v>
      </c>
      <c r="G27" s="215">
        <v>1535614160</v>
      </c>
      <c r="H27" s="215">
        <v>687641067</v>
      </c>
      <c r="I27" s="215">
        <f t="shared" si="0"/>
        <v>129088278.04524729</v>
      </c>
      <c r="J27" s="192">
        <f>+J28+J29</f>
        <v>9123508</v>
      </c>
      <c r="K27" s="194">
        <f>+K28+K29</f>
        <v>1</v>
      </c>
    </row>
    <row r="28" spans="1:11" ht="12.75" customHeight="1">
      <c r="A28" s="203" t="s">
        <v>138</v>
      </c>
      <c r="B28" s="204"/>
      <c r="C28" s="206" t="s">
        <v>168</v>
      </c>
      <c r="D28" s="191">
        <f>+$K$28*D27</f>
        <v>910594.07522282</v>
      </c>
      <c r="E28" s="191">
        <f>+$K$28*E27</f>
        <v>10959504.430992113</v>
      </c>
      <c r="F28" s="191">
        <f>+$K$28*F27</f>
        <v>4723430.28678881</v>
      </c>
      <c r="G28" s="191">
        <f>+$K$28*G27</f>
        <v>1384354404.3388925</v>
      </c>
      <c r="H28" s="191">
        <f>+$K$28*H27</f>
        <v>619907633.3769581</v>
      </c>
      <c r="I28" s="191">
        <f t="shared" si="0"/>
        <v>116372934.6312238</v>
      </c>
      <c r="J28" s="192">
        <v>8224832</v>
      </c>
      <c r="K28" s="195">
        <f>+J28/J27</f>
        <v>0.9014988532919574</v>
      </c>
    </row>
    <row r="29" spans="1:11" ht="12.75" customHeight="1">
      <c r="A29" s="203" t="s">
        <v>139</v>
      </c>
      <c r="B29" s="204"/>
      <c r="C29" s="206" t="s">
        <v>169</v>
      </c>
      <c r="D29" s="191">
        <f>+$K$29*D27</f>
        <v>99494.92477718001</v>
      </c>
      <c r="E29" s="191">
        <f>+$K$29*E27</f>
        <v>1197476.569007886</v>
      </c>
      <c r="F29" s="191">
        <f>+$K$29*F27</f>
        <v>516099.71321119025</v>
      </c>
      <c r="G29" s="191">
        <f>+$K$29*G27</f>
        <v>151259755.66110754</v>
      </c>
      <c r="H29" s="191">
        <f>+$K$29*H27</f>
        <v>67733433.62304193</v>
      </c>
      <c r="I29" s="191">
        <f t="shared" si="0"/>
        <v>12715343.414023494</v>
      </c>
      <c r="J29" s="192">
        <v>898676</v>
      </c>
      <c r="K29" s="195">
        <f>+J29/J27</f>
        <v>0.09850114670804257</v>
      </c>
    </row>
    <row r="30" spans="1:11" ht="12.75" customHeight="1">
      <c r="A30" s="203" t="s">
        <v>176</v>
      </c>
      <c r="B30" s="204"/>
      <c r="C30" s="206" t="s">
        <v>154</v>
      </c>
      <c r="D30" s="191">
        <f>+D31+D34</f>
        <v>12827776</v>
      </c>
      <c r="E30" s="191">
        <f>+E31+E34</f>
        <v>99349684</v>
      </c>
      <c r="F30" s="191">
        <f>+F31+F34</f>
        <v>12651512</v>
      </c>
      <c r="G30" s="191">
        <f>+G31+G34</f>
        <v>12375855516</v>
      </c>
      <c r="H30" s="191">
        <f>+H31+H34</f>
        <v>1663743452</v>
      </c>
      <c r="I30" s="191">
        <f t="shared" si="0"/>
        <v>1607990245.8482244</v>
      </c>
      <c r="J30" s="196"/>
      <c r="K30" s="197"/>
    </row>
    <row r="31" spans="1:11" ht="12.75" customHeight="1">
      <c r="A31" s="203">
        <v>19.2</v>
      </c>
      <c r="B31" s="204"/>
      <c r="C31" s="205" t="s">
        <v>54</v>
      </c>
      <c r="D31" s="285">
        <v>10272245</v>
      </c>
      <c r="E31" s="215">
        <v>94646140</v>
      </c>
      <c r="F31" s="215">
        <v>12370193</v>
      </c>
      <c r="G31" s="215">
        <v>11956187365</v>
      </c>
      <c r="H31" s="215">
        <v>1626136174</v>
      </c>
      <c r="I31" s="215">
        <f t="shared" si="0"/>
        <v>1303735150.9874203</v>
      </c>
      <c r="J31" s="198"/>
      <c r="K31" s="199"/>
    </row>
    <row r="32" spans="1:11" ht="12.75" customHeight="1">
      <c r="A32" s="203" t="s">
        <v>177</v>
      </c>
      <c r="B32" s="204"/>
      <c r="C32" s="205" t="s">
        <v>155</v>
      </c>
      <c r="D32" s="193">
        <f>+D33+D35</f>
        <v>2223994</v>
      </c>
      <c r="E32" s="193">
        <f>+E33+E35</f>
        <v>47593388</v>
      </c>
      <c r="F32" s="193">
        <f>+F33+F35</f>
        <v>5702135</v>
      </c>
      <c r="G32" s="193">
        <f>+G33+G35</f>
        <v>5967103745</v>
      </c>
      <c r="H32" s="193">
        <f>+H33+H35</f>
        <v>705507853</v>
      </c>
      <c r="I32" s="193">
        <f t="shared" si="0"/>
        <v>278444554.4944256</v>
      </c>
      <c r="J32" s="198"/>
      <c r="K32" s="216"/>
    </row>
    <row r="33" spans="1:11" ht="12.75" customHeight="1">
      <c r="A33" s="203">
        <v>19.4</v>
      </c>
      <c r="B33" s="204"/>
      <c r="C33" s="205" t="s">
        <v>55</v>
      </c>
      <c r="D33" s="285">
        <v>2023495</v>
      </c>
      <c r="E33" s="215">
        <v>46199088</v>
      </c>
      <c r="F33" s="215">
        <v>5542975</v>
      </c>
      <c r="G33" s="215">
        <v>5786190680</v>
      </c>
      <c r="H33" s="215">
        <v>686979745</v>
      </c>
      <c r="I33" s="215">
        <f t="shared" si="0"/>
        <v>253148545.4906461</v>
      </c>
      <c r="J33" s="198"/>
      <c r="K33" s="216"/>
    </row>
    <row r="34" spans="1:11" ht="12.75" customHeight="1">
      <c r="A34" s="203">
        <v>21.1</v>
      </c>
      <c r="B34" s="204"/>
      <c r="C34" s="205" t="s">
        <v>56</v>
      </c>
      <c r="D34" s="285">
        <v>2555531</v>
      </c>
      <c r="E34" s="215">
        <v>4703544</v>
      </c>
      <c r="F34" s="215">
        <v>281319</v>
      </c>
      <c r="G34" s="215">
        <v>419668151</v>
      </c>
      <c r="H34" s="215">
        <v>37607278</v>
      </c>
      <c r="I34" s="215">
        <f t="shared" si="0"/>
        <v>234426008.1666836</v>
      </c>
      <c r="J34" s="198"/>
      <c r="K34" s="216"/>
    </row>
    <row r="35" spans="1:11" ht="12.75" customHeight="1">
      <c r="A35" s="203">
        <v>21.2</v>
      </c>
      <c r="B35" s="204"/>
      <c r="C35" s="205" t="s">
        <v>57</v>
      </c>
      <c r="D35" s="285">
        <v>200499</v>
      </c>
      <c r="E35" s="215">
        <v>1394300</v>
      </c>
      <c r="F35" s="215">
        <v>159160</v>
      </c>
      <c r="G35" s="215">
        <v>180913065</v>
      </c>
      <c r="H35" s="215">
        <v>18528108</v>
      </c>
      <c r="I35" s="215">
        <f t="shared" si="0"/>
        <v>25741091.335037272</v>
      </c>
      <c r="J35" s="198"/>
      <c r="K35" s="216"/>
    </row>
    <row r="36" spans="1:11" ht="12.75" customHeight="1">
      <c r="A36" s="207">
        <v>22</v>
      </c>
      <c r="B36" s="204"/>
      <c r="C36" s="205" t="s">
        <v>58</v>
      </c>
      <c r="D36" s="285">
        <v>104827</v>
      </c>
      <c r="E36" s="215">
        <v>2270847</v>
      </c>
      <c r="F36" s="215">
        <v>315531</v>
      </c>
      <c r="G36" s="215">
        <v>219865613</v>
      </c>
      <c r="H36" s="215">
        <v>32185802</v>
      </c>
      <c r="I36" s="215">
        <f t="shared" si="0"/>
        <v>10215751.015592076</v>
      </c>
      <c r="J36" s="198"/>
      <c r="K36" s="216"/>
    </row>
    <row r="37" spans="1:11" ht="12.75" customHeight="1">
      <c r="A37" s="207">
        <v>23</v>
      </c>
      <c r="B37" s="204"/>
      <c r="C37" s="205" t="s">
        <v>59</v>
      </c>
      <c r="D37" s="285">
        <v>82836</v>
      </c>
      <c r="E37" s="215">
        <v>1163754</v>
      </c>
      <c r="F37" s="215">
        <v>123846</v>
      </c>
      <c r="G37" s="215">
        <v>131128139</v>
      </c>
      <c r="H37" s="215">
        <v>13558939</v>
      </c>
      <c r="I37" s="215">
        <f t="shared" si="0"/>
        <v>9308246.96583411</v>
      </c>
      <c r="J37" s="198"/>
      <c r="K37" s="216"/>
    </row>
    <row r="38" spans="1:11" ht="12.75" customHeight="1">
      <c r="A38" s="207">
        <v>24</v>
      </c>
      <c r="B38" s="204"/>
      <c r="C38" s="205" t="s">
        <v>60</v>
      </c>
      <c r="D38" s="285">
        <v>257854</v>
      </c>
      <c r="E38" s="215">
        <v>2953141</v>
      </c>
      <c r="F38" s="215">
        <v>550582</v>
      </c>
      <c r="G38" s="215">
        <v>421208614</v>
      </c>
      <c r="H38" s="215">
        <v>61060784</v>
      </c>
      <c r="I38" s="215">
        <f t="shared" si="0"/>
        <v>35492273.034110285</v>
      </c>
      <c r="J38" s="198"/>
      <c r="K38" s="216"/>
    </row>
    <row r="39" spans="1:11" ht="12.75" customHeight="1">
      <c r="A39" s="207">
        <v>26</v>
      </c>
      <c r="B39" s="204"/>
      <c r="C39" s="205" t="s">
        <v>61</v>
      </c>
      <c r="D39" s="285">
        <v>22035</v>
      </c>
      <c r="E39" s="215">
        <v>296927</v>
      </c>
      <c r="F39" s="215">
        <v>31863</v>
      </c>
      <c r="G39" s="215">
        <v>34461807</v>
      </c>
      <c r="H39" s="215">
        <v>3749252</v>
      </c>
      <c r="I39" s="215">
        <f t="shared" si="0"/>
        <v>2560846.391511299</v>
      </c>
      <c r="J39" s="198"/>
      <c r="K39" s="216"/>
    </row>
    <row r="40" spans="1:11" ht="12.75" customHeight="1">
      <c r="A40" s="207">
        <v>27</v>
      </c>
      <c r="B40" s="204"/>
      <c r="C40" s="205" t="s">
        <v>62</v>
      </c>
      <c r="D40" s="285">
        <v>28078</v>
      </c>
      <c r="E40" s="215">
        <v>824391</v>
      </c>
      <c r="F40" s="215">
        <v>48063</v>
      </c>
      <c r="G40" s="215">
        <v>63858885</v>
      </c>
      <c r="H40" s="215">
        <v>19384800</v>
      </c>
      <c r="I40" s="215">
        <f t="shared" si="0"/>
        <v>2679013.6642504935</v>
      </c>
      <c r="J40" s="198"/>
      <c r="K40" s="216"/>
    </row>
    <row r="41" spans="1:11" ht="12.75" customHeight="1">
      <c r="A41" s="203" t="s">
        <v>100</v>
      </c>
      <c r="B41" s="204"/>
      <c r="C41" s="205" t="s">
        <v>63</v>
      </c>
      <c r="D41" s="285">
        <v>29739</v>
      </c>
      <c r="E41" s="215">
        <v>1012615</v>
      </c>
      <c r="F41" s="215">
        <v>19389</v>
      </c>
      <c r="G41" s="215">
        <v>96981625</v>
      </c>
      <c r="H41" s="215">
        <v>1940393</v>
      </c>
      <c r="I41" s="215">
        <f t="shared" si="0"/>
        <v>2850610.940754106</v>
      </c>
      <c r="J41" s="198"/>
      <c r="K41" s="216"/>
    </row>
    <row r="42" spans="1:11" ht="12.75" customHeight="1">
      <c r="A42" s="203" t="s">
        <v>157</v>
      </c>
      <c r="B42" s="204"/>
      <c r="C42" s="205" t="s">
        <v>156</v>
      </c>
      <c r="D42" s="285">
        <v>14513</v>
      </c>
      <c r="E42" s="215">
        <v>242091</v>
      </c>
      <c r="F42" s="215">
        <v>986</v>
      </c>
      <c r="G42" s="215">
        <v>19604816</v>
      </c>
      <c r="H42" s="215">
        <v>32885</v>
      </c>
      <c r="I42" s="215">
        <f t="shared" si="0"/>
        <v>1172476.0245230936</v>
      </c>
      <c r="J42" s="198"/>
      <c r="K42" s="216"/>
    </row>
    <row r="43" spans="1:11" ht="12.75" customHeight="1" thickBot="1">
      <c r="A43" s="208" t="s">
        <v>102</v>
      </c>
      <c r="B43" s="209"/>
      <c r="C43" s="210" t="s">
        <v>64</v>
      </c>
      <c r="D43" s="286">
        <v>62987</v>
      </c>
      <c r="E43" s="217">
        <v>-100146</v>
      </c>
      <c r="F43" s="217">
        <v>105969</v>
      </c>
      <c r="G43" s="217">
        <v>93714537</v>
      </c>
      <c r="H43" s="217">
        <v>6194717</v>
      </c>
      <c r="I43" s="217">
        <f t="shared" si="0"/>
        <v>1080711691.8595226</v>
      </c>
      <c r="J43" s="218"/>
      <c r="K43" s="219"/>
    </row>
    <row r="44" spans="1:11" s="90" customFormat="1" ht="12.75" customHeight="1" thickBot="1">
      <c r="A44" s="88"/>
      <c r="B44" s="88"/>
      <c r="C44" s="89"/>
      <c r="D44" s="132"/>
      <c r="E44" s="133"/>
      <c r="F44" s="133"/>
      <c r="G44" s="133"/>
      <c r="H44" s="133"/>
      <c r="I44" s="133"/>
      <c r="J44" s="134"/>
      <c r="K44" s="135"/>
    </row>
    <row r="45" spans="1:11" s="94" customFormat="1" ht="21" customHeight="1" thickBot="1">
      <c r="A45" s="91"/>
      <c r="B45" s="92"/>
      <c r="C45" s="93" t="s">
        <v>65</v>
      </c>
      <c r="D45" s="136">
        <f>SUM(D10:D43)-D16-D20-D24-D27-D30-D32</f>
        <v>33523328</v>
      </c>
      <c r="E45" s="136">
        <f>SUM(E10:E43)-E16-E20-E24-E27-E30-E32</f>
        <v>461586480</v>
      </c>
      <c r="F45" s="136">
        <f>SUM(F10:F43)-F16-F20-F24-F27-F30-F32</f>
        <v>77773122</v>
      </c>
      <c r="G45" s="136">
        <f>SUM(G10:G43)-G16-G20-G24-G27-G30-G32</f>
        <v>59612435945</v>
      </c>
      <c r="H45" s="136">
        <f>SUM(H10:H43)-H16-H20-H24-H27-H30-H32</f>
        <v>9891313115</v>
      </c>
      <c r="I45" s="136">
        <f>+D45*(G45+H45)/(E45+F45)</f>
        <v>4319932320.344733</v>
      </c>
      <c r="J45" s="137"/>
      <c r="K45" s="138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- 8/18/2022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G1"/>
    </sheetView>
  </sheetViews>
  <sheetFormatPr defaultColWidth="9.28125" defaultRowHeight="12.75"/>
  <cols>
    <col min="1" max="1" width="12.8515625" style="229" customWidth="1"/>
    <col min="2" max="2" width="22.00390625" style="276" customWidth="1"/>
    <col min="3" max="3" width="13.00390625" style="229" customWidth="1"/>
    <col min="4" max="4" width="6.7109375" style="229" bestFit="1" customWidth="1"/>
    <col min="5" max="5" width="13.7109375" style="254" customWidth="1"/>
    <col min="6" max="6" width="3.28125" style="254" customWidth="1"/>
    <col min="7" max="7" width="16.28125" style="229" customWidth="1"/>
    <col min="8" max="8" width="6.00390625" style="229" customWidth="1"/>
    <col min="9" max="9" width="10.8515625" style="229" hidden="1" customWidth="1"/>
    <col min="10" max="16384" width="9.28125" style="229" customWidth="1"/>
  </cols>
  <sheetData>
    <row r="1" spans="1:7" s="223" customFormat="1" ht="69.75" customHeight="1" thickBot="1">
      <c r="A1" s="315" t="s">
        <v>206</v>
      </c>
      <c r="B1" s="315"/>
      <c r="C1" s="315"/>
      <c r="D1" s="315"/>
      <c r="E1" s="315"/>
      <c r="F1" s="315"/>
      <c r="G1" s="315"/>
    </row>
    <row r="2" spans="1:7" ht="6" customHeight="1">
      <c r="A2" s="224"/>
      <c r="B2" s="225"/>
      <c r="C2" s="226"/>
      <c r="D2" s="226"/>
      <c r="E2" s="227"/>
      <c r="F2" s="227"/>
      <c r="G2" s="228"/>
    </row>
    <row r="3" spans="1:7" s="235" customFormat="1" ht="7.5" customHeight="1">
      <c r="A3" s="230"/>
      <c r="B3" s="231"/>
      <c r="C3" s="232"/>
      <c r="D3" s="232"/>
      <c r="E3" s="233"/>
      <c r="F3" s="233"/>
      <c r="G3" s="234"/>
    </row>
    <row r="4" spans="1:7" s="235" customFormat="1" ht="17.25" customHeight="1">
      <c r="A4" s="230"/>
      <c r="B4" s="231"/>
      <c r="C4" s="236">
        <v>2020</v>
      </c>
      <c r="D4" s="236"/>
      <c r="E4" s="236">
        <v>2021</v>
      </c>
      <c r="F4" s="236"/>
      <c r="G4" s="237" t="s">
        <v>173</v>
      </c>
    </row>
    <row r="5" spans="1:9" s="235" customFormat="1" ht="26.25" customHeight="1">
      <c r="A5" s="230"/>
      <c r="B5" s="231" t="s">
        <v>0</v>
      </c>
      <c r="C5" s="238" t="s">
        <v>140</v>
      </c>
      <c r="D5" s="238"/>
      <c r="E5" s="238" t="s">
        <v>140</v>
      </c>
      <c r="F5" s="238"/>
      <c r="G5" s="239" t="s">
        <v>207</v>
      </c>
      <c r="I5" s="277" t="s">
        <v>184</v>
      </c>
    </row>
    <row r="6" spans="1:9" s="235" customFormat="1" ht="15" customHeight="1" thickBot="1">
      <c r="A6" s="240"/>
      <c r="B6" s="241"/>
      <c r="C6" s="242" t="s">
        <v>1</v>
      </c>
      <c r="D6" s="243"/>
      <c r="E6" s="242" t="s">
        <v>2</v>
      </c>
      <c r="F6" s="242"/>
      <c r="G6" s="244" t="s">
        <v>174</v>
      </c>
      <c r="I6" s="245" t="s">
        <v>187</v>
      </c>
    </row>
    <row r="7" spans="1:7" ht="8.25" customHeight="1" thickBot="1">
      <c r="A7" s="246"/>
      <c r="B7" s="247"/>
      <c r="C7" s="248"/>
      <c r="D7" s="249"/>
      <c r="E7" s="248"/>
      <c r="F7" s="249"/>
      <c r="G7" s="250"/>
    </row>
    <row r="8" spans="1:9" ht="15" customHeight="1">
      <c r="A8" s="251" t="s">
        <v>76</v>
      </c>
      <c r="B8" s="252" t="s">
        <v>41</v>
      </c>
      <c r="C8" s="253">
        <v>0.9908701693934334</v>
      </c>
      <c r="D8" s="290" t="s">
        <v>195</v>
      </c>
      <c r="E8" s="253">
        <v>1.7040300096297394</v>
      </c>
      <c r="F8" s="290"/>
      <c r="G8" s="298">
        <f>+E8-C8</f>
        <v>0.713159840236306</v>
      </c>
      <c r="I8" s="254">
        <f>+E8/C8-1</f>
        <v>0.7197308610802873</v>
      </c>
    </row>
    <row r="9" spans="1:9" ht="15" customHeight="1">
      <c r="A9" s="255" t="s">
        <v>77</v>
      </c>
      <c r="B9" s="256" t="s">
        <v>42</v>
      </c>
      <c r="C9" s="258">
        <v>0.8405808614465139</v>
      </c>
      <c r="D9" s="257" t="s">
        <v>195</v>
      </c>
      <c r="E9" s="258">
        <v>1.2313835016781414</v>
      </c>
      <c r="F9" s="257"/>
      <c r="G9" s="299">
        <f aca="true" t="shared" si="0" ref="G9:G43">+E9-C9</f>
        <v>0.3908026402316275</v>
      </c>
      <c r="I9" s="254">
        <f aca="true" t="shared" si="1" ref="I9:I43">+E9/C9-1</f>
        <v>0.46491974556631543</v>
      </c>
    </row>
    <row r="10" spans="1:9" ht="15" customHeight="1">
      <c r="A10" s="255" t="s">
        <v>180</v>
      </c>
      <c r="B10" s="256" t="s">
        <v>181</v>
      </c>
      <c r="C10" s="258">
        <v>1.3538333883705174</v>
      </c>
      <c r="D10" s="291" t="s">
        <v>195</v>
      </c>
      <c r="E10" s="258">
        <v>0.8991543387409611</v>
      </c>
      <c r="F10" s="291"/>
      <c r="G10" s="299">
        <f t="shared" si="0"/>
        <v>-0.4546790496295563</v>
      </c>
      <c r="I10" s="254">
        <f t="shared" si="1"/>
        <v>-0.33584564654356097</v>
      </c>
    </row>
    <row r="11" spans="1:9" ht="15" customHeight="1">
      <c r="A11" s="255" t="s">
        <v>182</v>
      </c>
      <c r="B11" s="256" t="s">
        <v>183</v>
      </c>
      <c r="C11" s="258">
        <v>0.791210063607816</v>
      </c>
      <c r="D11" s="291" t="s">
        <v>195</v>
      </c>
      <c r="E11" s="258">
        <v>2.5288629074150526</v>
      </c>
      <c r="F11" s="291"/>
      <c r="G11" s="299">
        <f t="shared" si="0"/>
        <v>1.7376528438072367</v>
      </c>
      <c r="I11" s="254">
        <f t="shared" si="1"/>
        <v>2.196196590174502</v>
      </c>
    </row>
    <row r="12" spans="1:9" ht="15" customHeight="1">
      <c r="A12" s="255" t="s">
        <v>78</v>
      </c>
      <c r="B12" s="256" t="s">
        <v>43</v>
      </c>
      <c r="C12" s="258">
        <v>0.9853711623054978</v>
      </c>
      <c r="D12" s="257" t="s">
        <v>195</v>
      </c>
      <c r="E12" s="258">
        <v>2.824803964995678</v>
      </c>
      <c r="F12" s="257"/>
      <c r="G12" s="299">
        <f t="shared" si="0"/>
        <v>1.8394328026901805</v>
      </c>
      <c r="I12" s="254">
        <f t="shared" si="1"/>
        <v>1.866741054595522</v>
      </c>
    </row>
    <row r="13" spans="1:9" ht="15" customHeight="1">
      <c r="A13" s="255" t="s">
        <v>79</v>
      </c>
      <c r="B13" s="256" t="s">
        <v>44</v>
      </c>
      <c r="C13" s="258">
        <v>0.8961055142684093</v>
      </c>
      <c r="D13" s="257" t="s">
        <v>195</v>
      </c>
      <c r="E13" s="258">
        <v>1.3010095886105004</v>
      </c>
      <c r="F13" s="257"/>
      <c r="G13" s="299">
        <f t="shared" si="0"/>
        <v>0.4049040743420911</v>
      </c>
      <c r="I13" s="254">
        <f t="shared" si="1"/>
        <v>0.45184865832754006</v>
      </c>
    </row>
    <row r="14" spans="1:9" ht="15" customHeight="1">
      <c r="A14" s="255" t="s">
        <v>142</v>
      </c>
      <c r="B14" s="256" t="s">
        <v>141</v>
      </c>
      <c r="C14" s="258">
        <v>1.7434755596365439</v>
      </c>
      <c r="D14" s="257" t="s">
        <v>195</v>
      </c>
      <c r="E14" s="258">
        <v>2.0377358580832317</v>
      </c>
      <c r="F14" s="257"/>
      <c r="G14" s="299">
        <f t="shared" si="0"/>
        <v>0.2942602984466878</v>
      </c>
      <c r="I14" s="254">
        <f t="shared" si="1"/>
        <v>0.1687779887823786</v>
      </c>
    </row>
    <row r="15" spans="1:9" ht="15" customHeight="1">
      <c r="A15" s="255" t="s">
        <v>80</v>
      </c>
      <c r="B15" s="256" t="s">
        <v>170</v>
      </c>
      <c r="C15" s="258">
        <v>0.8555015993499964</v>
      </c>
      <c r="D15" s="257" t="s">
        <v>188</v>
      </c>
      <c r="E15" s="258">
        <v>1.0191601205006116</v>
      </c>
      <c r="F15" s="257"/>
      <c r="G15" s="299">
        <f t="shared" si="0"/>
        <v>0.1636585211506152</v>
      </c>
      <c r="I15" s="254">
        <f t="shared" si="1"/>
        <v>0.19130124511159496</v>
      </c>
    </row>
    <row r="16" spans="1:9" ht="15" customHeight="1">
      <c r="A16" s="255" t="s">
        <v>81</v>
      </c>
      <c r="B16" s="256" t="s">
        <v>171</v>
      </c>
      <c r="C16" s="258">
        <v>2.8433306647870635</v>
      </c>
      <c r="D16" s="257" t="s">
        <v>195</v>
      </c>
      <c r="E16" s="258">
        <v>3.3123146730476747</v>
      </c>
      <c r="F16" s="257"/>
      <c r="G16" s="299">
        <f t="shared" si="0"/>
        <v>0.46898400826061115</v>
      </c>
      <c r="I16" s="254">
        <f t="shared" si="1"/>
        <v>0.1649417755270941</v>
      </c>
    </row>
    <row r="17" spans="1:9" ht="15" customHeight="1">
      <c r="A17" s="255" t="s">
        <v>85</v>
      </c>
      <c r="B17" s="256" t="s">
        <v>48</v>
      </c>
      <c r="C17" s="258">
        <v>0.38732053946044664</v>
      </c>
      <c r="D17" s="257" t="s">
        <v>195</v>
      </c>
      <c r="E17" s="258">
        <v>0.6077023931374855</v>
      </c>
      <c r="F17" s="257"/>
      <c r="G17" s="299">
        <f t="shared" si="0"/>
        <v>0.22038185367703889</v>
      </c>
      <c r="I17" s="254">
        <f t="shared" si="1"/>
        <v>0.5689908776437207</v>
      </c>
    </row>
    <row r="18" spans="1:9" ht="15" customHeight="1">
      <c r="A18" s="255" t="s">
        <v>87</v>
      </c>
      <c r="B18" s="256" t="s">
        <v>158</v>
      </c>
      <c r="C18" s="258">
        <v>2.9614351978812086</v>
      </c>
      <c r="D18" s="257" t="s">
        <v>195</v>
      </c>
      <c r="E18" s="258">
        <v>3.7595937759163247</v>
      </c>
      <c r="F18" s="257"/>
      <c r="G18" s="299">
        <f t="shared" si="0"/>
        <v>0.7981585780351161</v>
      </c>
      <c r="I18" s="254">
        <f t="shared" si="1"/>
        <v>0.2695174888872016</v>
      </c>
    </row>
    <row r="19" spans="1:9" ht="15" customHeight="1">
      <c r="A19" s="255" t="s">
        <v>135</v>
      </c>
      <c r="B19" s="256" t="s">
        <v>165</v>
      </c>
      <c r="C19" s="258">
        <v>4.939811371381628</v>
      </c>
      <c r="D19" s="257" t="s">
        <v>188</v>
      </c>
      <c r="E19" s="258">
        <v>5.681739994784329</v>
      </c>
      <c r="F19" s="257"/>
      <c r="G19" s="299">
        <f t="shared" si="0"/>
        <v>0.7419286234027007</v>
      </c>
      <c r="I19" s="254">
        <f t="shared" si="1"/>
        <v>0.15019371543233428</v>
      </c>
    </row>
    <row r="20" spans="1:9" ht="15" customHeight="1">
      <c r="A20" s="255" t="s">
        <v>136</v>
      </c>
      <c r="B20" s="256" t="s">
        <v>175</v>
      </c>
      <c r="C20" s="258">
        <v>2.430610214344578</v>
      </c>
      <c r="D20" s="257" t="s">
        <v>198</v>
      </c>
      <c r="E20" s="258">
        <v>3.183407940198822</v>
      </c>
      <c r="F20" s="257"/>
      <c r="G20" s="299">
        <f t="shared" si="0"/>
        <v>0.752797725854244</v>
      </c>
      <c r="I20" s="254">
        <f t="shared" si="1"/>
        <v>0.30971552798202917</v>
      </c>
    </row>
    <row r="21" spans="1:9" ht="15" customHeight="1">
      <c r="A21" s="255" t="s">
        <v>88</v>
      </c>
      <c r="B21" s="256" t="s">
        <v>164</v>
      </c>
      <c r="C21" s="258">
        <v>1</v>
      </c>
      <c r="D21" s="257" t="s">
        <v>198</v>
      </c>
      <c r="E21" s="258">
        <v>1</v>
      </c>
      <c r="F21" s="257"/>
      <c r="G21" s="299">
        <f t="shared" si="0"/>
        <v>0</v>
      </c>
      <c r="I21" s="254">
        <f t="shared" si="1"/>
        <v>0</v>
      </c>
    </row>
    <row r="22" spans="1:9" ht="15" customHeight="1">
      <c r="A22" s="255" t="s">
        <v>89</v>
      </c>
      <c r="B22" s="256" t="s">
        <v>52</v>
      </c>
      <c r="C22" s="258">
        <v>3.0642917842230175</v>
      </c>
      <c r="D22" s="257" t="s">
        <v>195</v>
      </c>
      <c r="E22" s="258">
        <v>2.9111888031361275</v>
      </c>
      <c r="F22" s="257"/>
      <c r="G22" s="299">
        <f t="shared" si="0"/>
        <v>-0.15310298108689002</v>
      </c>
      <c r="I22" s="254">
        <f t="shared" si="1"/>
        <v>-0.04996357784045391</v>
      </c>
    </row>
    <row r="23" spans="1:9" ht="15" customHeight="1">
      <c r="A23" s="255" t="s">
        <v>137</v>
      </c>
      <c r="B23" s="256" t="s">
        <v>166</v>
      </c>
      <c r="C23" s="258">
        <v>3.3328987445991727</v>
      </c>
      <c r="D23" s="257" t="s">
        <v>195</v>
      </c>
      <c r="E23" s="258">
        <v>3.3465701709731945</v>
      </c>
      <c r="F23" s="257"/>
      <c r="G23" s="299">
        <f t="shared" si="0"/>
        <v>0.013671426374021856</v>
      </c>
      <c r="I23" s="254">
        <f t="shared" si="1"/>
        <v>0.0041019627122413915</v>
      </c>
    </row>
    <row r="24" spans="1:9" ht="15" customHeight="1">
      <c r="A24" s="255" t="s">
        <v>159</v>
      </c>
      <c r="B24" s="256" t="s">
        <v>167</v>
      </c>
      <c r="C24" s="258">
        <v>2.6457942427499086</v>
      </c>
      <c r="D24" s="257" t="s">
        <v>195</v>
      </c>
      <c r="E24" s="258">
        <v>2.364961728830746</v>
      </c>
      <c r="F24" s="257"/>
      <c r="G24" s="299">
        <f t="shared" si="0"/>
        <v>-0.28083251391916253</v>
      </c>
      <c r="I24" s="254">
        <f t="shared" si="1"/>
        <v>-0.10614299078195855</v>
      </c>
    </row>
    <row r="25" spans="1:9" ht="15" customHeight="1">
      <c r="A25" s="255" t="s">
        <v>90</v>
      </c>
      <c r="B25" s="256" t="s">
        <v>53</v>
      </c>
      <c r="C25" s="258">
        <v>4.989053246286272</v>
      </c>
      <c r="D25" s="257" t="s">
        <v>195</v>
      </c>
      <c r="E25" s="258">
        <v>4.8877985793418555</v>
      </c>
      <c r="F25" s="257"/>
      <c r="G25" s="299">
        <f t="shared" si="0"/>
        <v>-0.1012546669444161</v>
      </c>
      <c r="I25" s="254">
        <f t="shared" si="1"/>
        <v>-0.020295367065843117</v>
      </c>
    </row>
    <row r="26" spans="1:9" ht="15" customHeight="1">
      <c r="A26" s="255" t="s">
        <v>138</v>
      </c>
      <c r="B26" s="256" t="s">
        <v>168</v>
      </c>
      <c r="C26" s="258">
        <v>5.093982158779044</v>
      </c>
      <c r="D26" s="257" t="s">
        <v>198</v>
      </c>
      <c r="E26" s="258">
        <v>4.931548910547543</v>
      </c>
      <c r="F26" s="257"/>
      <c r="G26" s="299">
        <f t="shared" si="0"/>
        <v>-0.1624332482315003</v>
      </c>
      <c r="I26" s="254">
        <f t="shared" si="1"/>
        <v>-0.03188728251659867</v>
      </c>
    </row>
    <row r="27" spans="1:9" ht="15" customHeight="1">
      <c r="A27" s="255" t="s">
        <v>139</v>
      </c>
      <c r="B27" s="256" t="s">
        <v>169</v>
      </c>
      <c r="C27" s="258">
        <v>4.484998889983944</v>
      </c>
      <c r="D27" s="257" t="s">
        <v>195</v>
      </c>
      <c r="E27" s="258">
        <v>4.532679421204925</v>
      </c>
      <c r="F27" s="257"/>
      <c r="G27" s="299">
        <f t="shared" si="0"/>
        <v>0.047680531220980704</v>
      </c>
      <c r="I27" s="254">
        <f t="shared" si="1"/>
        <v>0.01063111327127908</v>
      </c>
    </row>
    <row r="28" spans="1:9" ht="15" customHeight="1">
      <c r="A28" s="255" t="s">
        <v>176</v>
      </c>
      <c r="B28" s="256" t="s">
        <v>154</v>
      </c>
      <c r="C28" s="258">
        <v>0.7466616256294768</v>
      </c>
      <c r="D28" s="257" t="s">
        <v>195</v>
      </c>
      <c r="E28" s="258">
        <v>0.7694610843565538</v>
      </c>
      <c r="F28" s="257"/>
      <c r="G28" s="299">
        <f t="shared" si="0"/>
        <v>0.022799458727077004</v>
      </c>
      <c r="I28" s="254">
        <f t="shared" si="1"/>
        <v>0.030535195521607106</v>
      </c>
    </row>
    <row r="29" spans="1:9" ht="15" customHeight="1">
      <c r="A29" s="255" t="s">
        <v>91</v>
      </c>
      <c r="B29" s="256" t="s">
        <v>54</v>
      </c>
      <c r="C29" s="258">
        <v>1.2289421602119517</v>
      </c>
      <c r="D29" s="257" t="s">
        <v>188</v>
      </c>
      <c r="E29" s="258">
        <v>1.3266740292453059</v>
      </c>
      <c r="F29" s="257"/>
      <c r="G29" s="299">
        <f t="shared" si="0"/>
        <v>0.09773186903335418</v>
      </c>
      <c r="I29" s="254">
        <f t="shared" si="1"/>
        <v>0.07952519833520788</v>
      </c>
    </row>
    <row r="30" spans="1:9" ht="15" customHeight="1">
      <c r="A30" s="255" t="s">
        <v>177</v>
      </c>
      <c r="B30" s="256" t="s">
        <v>155</v>
      </c>
      <c r="C30" s="258">
        <v>1.4587109121430526</v>
      </c>
      <c r="D30" s="257" t="s">
        <v>195</v>
      </c>
      <c r="E30" s="258">
        <v>1.6888976477144795</v>
      </c>
      <c r="F30" s="257"/>
      <c r="G30" s="299">
        <f t="shared" si="0"/>
        <v>0.23018673557142688</v>
      </c>
      <c r="I30" s="254">
        <f t="shared" si="1"/>
        <v>0.1578014763962039</v>
      </c>
    </row>
    <row r="31" spans="1:9" ht="15" customHeight="1">
      <c r="A31" s="255" t="s">
        <v>92</v>
      </c>
      <c r="B31" s="256" t="s">
        <v>55</v>
      </c>
      <c r="C31" s="258">
        <v>1.6737264255562208</v>
      </c>
      <c r="D31" s="257" t="s">
        <v>195</v>
      </c>
      <c r="E31" s="258">
        <v>1.9240568199838088</v>
      </c>
      <c r="F31" s="257"/>
      <c r="G31" s="299">
        <f t="shared" si="0"/>
        <v>0.2503303944275881</v>
      </c>
      <c r="I31" s="254">
        <f t="shared" si="1"/>
        <v>0.14956470221493756</v>
      </c>
    </row>
    <row r="32" spans="1:9" ht="15" customHeight="1">
      <c r="A32" s="255" t="s">
        <v>93</v>
      </c>
      <c r="B32" s="256" t="s">
        <v>56</v>
      </c>
      <c r="C32" s="258">
        <v>0.07309859769299859</v>
      </c>
      <c r="D32" s="257" t="s">
        <v>195</v>
      </c>
      <c r="E32" s="258">
        <v>0.0918962140764586</v>
      </c>
      <c r="F32" s="257"/>
      <c r="G32" s="299">
        <f t="shared" si="0"/>
        <v>0.018797616383460003</v>
      </c>
      <c r="I32" s="254">
        <f t="shared" si="1"/>
        <v>0.25715426802586183</v>
      </c>
    </row>
    <row r="33" spans="1:9" ht="15" customHeight="1">
      <c r="A33" s="255" t="s">
        <v>94</v>
      </c>
      <c r="B33" s="256" t="s">
        <v>57</v>
      </c>
      <c r="C33" s="258">
        <v>0.3116197069985335</v>
      </c>
      <c r="D33" s="257" t="s">
        <v>195</v>
      </c>
      <c r="E33" s="258">
        <v>0.373189937049087</v>
      </c>
      <c r="F33" s="257"/>
      <c r="G33" s="299">
        <f t="shared" si="0"/>
        <v>0.06157023005055351</v>
      </c>
      <c r="I33" s="254">
        <f t="shared" si="1"/>
        <v>0.19758131038497928</v>
      </c>
    </row>
    <row r="34" spans="1:9" ht="15" customHeight="1">
      <c r="A34" s="255" t="s">
        <v>95</v>
      </c>
      <c r="B34" s="256" t="s">
        <v>58</v>
      </c>
      <c r="C34" s="258">
        <v>1.532093104182432</v>
      </c>
      <c r="D34" s="257" t="s">
        <v>179</v>
      </c>
      <c r="E34" s="258">
        <v>1.6026870856101356</v>
      </c>
      <c r="F34" s="257"/>
      <c r="G34" s="299">
        <f t="shared" si="0"/>
        <v>0.07059398142770368</v>
      </c>
      <c r="I34" s="254">
        <f t="shared" si="1"/>
        <v>0.0460768221167438</v>
      </c>
    </row>
    <row r="35" spans="1:9" ht="15" customHeight="1">
      <c r="A35" s="255" t="s">
        <v>96</v>
      </c>
      <c r="B35" s="256" t="s">
        <v>59</v>
      </c>
      <c r="C35" s="258">
        <v>2.6569693326058865</v>
      </c>
      <c r="D35" s="257" t="s">
        <v>195</v>
      </c>
      <c r="E35" s="258">
        <v>2.512382243045405</v>
      </c>
      <c r="F35" s="257"/>
      <c r="G35" s="299">
        <f t="shared" si="0"/>
        <v>-0.14458708956048172</v>
      </c>
      <c r="I35" s="254">
        <f t="shared" si="1"/>
        <v>-0.05441804983826237</v>
      </c>
    </row>
    <row r="36" spans="1:9" ht="15" customHeight="1">
      <c r="A36" s="255" t="s">
        <v>97</v>
      </c>
      <c r="B36" s="256" t="s">
        <v>60</v>
      </c>
      <c r="C36" s="258">
        <v>3.2689752038350917</v>
      </c>
      <c r="D36" s="291" t="s">
        <v>195</v>
      </c>
      <c r="E36" s="258">
        <v>5.20033489142356</v>
      </c>
      <c r="F36" s="291"/>
      <c r="G36" s="299">
        <f t="shared" si="0"/>
        <v>1.931359687588468</v>
      </c>
      <c r="I36" s="254">
        <f t="shared" si="1"/>
        <v>0.5908150313659883</v>
      </c>
    </row>
    <row r="37" spans="1:9" ht="15" customHeight="1">
      <c r="A37" s="255" t="s">
        <v>98</v>
      </c>
      <c r="B37" s="256" t="s">
        <v>163</v>
      </c>
      <c r="C37" s="258">
        <v>0.6942320297933339</v>
      </c>
      <c r="D37" s="257" t="s">
        <v>198</v>
      </c>
      <c r="E37" s="258">
        <v>1.007113416222989</v>
      </c>
      <c r="F37" s="257"/>
      <c r="G37" s="299">
        <f t="shared" si="0"/>
        <v>0.31288138642965524</v>
      </c>
      <c r="I37" s="254">
        <f t="shared" si="1"/>
        <v>0.4506870513058825</v>
      </c>
    </row>
    <row r="38" spans="1:9" ht="15" customHeight="1">
      <c r="A38" s="255" t="s">
        <v>99</v>
      </c>
      <c r="B38" s="256" t="s">
        <v>62</v>
      </c>
      <c r="C38" s="258">
        <v>1.3358894349054864</v>
      </c>
      <c r="D38" s="257" t="s">
        <v>188</v>
      </c>
      <c r="E38" s="258">
        <v>2.780279337907231</v>
      </c>
      <c r="F38" s="257"/>
      <c r="G38" s="299">
        <f t="shared" si="0"/>
        <v>1.4443899030017444</v>
      </c>
      <c r="I38" s="254">
        <f t="shared" si="1"/>
        <v>1.081219646821995</v>
      </c>
    </row>
    <row r="39" spans="1:9" ht="15" customHeight="1">
      <c r="A39" s="255" t="s">
        <v>100</v>
      </c>
      <c r="B39" s="256" t="s">
        <v>63</v>
      </c>
      <c r="C39" s="258">
        <v>0.8439574327924343</v>
      </c>
      <c r="D39" s="257" t="s">
        <v>179</v>
      </c>
      <c r="E39" s="258">
        <v>12.237739293459976</v>
      </c>
      <c r="F39" s="257"/>
      <c r="G39" s="299">
        <f t="shared" si="0"/>
        <v>11.393781860667541</v>
      </c>
      <c r="I39" s="254">
        <f t="shared" si="1"/>
        <v>13.500422435961609</v>
      </c>
    </row>
    <row r="40" spans="1:9" ht="15" customHeight="1">
      <c r="A40" s="255" t="s">
        <v>157</v>
      </c>
      <c r="B40" s="256" t="s">
        <v>156</v>
      </c>
      <c r="C40" s="258">
        <v>0.19936312915058949</v>
      </c>
      <c r="D40" s="257" t="s">
        <v>198</v>
      </c>
      <c r="E40" s="258">
        <v>0.24048540098677457</v>
      </c>
      <c r="F40" s="257"/>
      <c r="G40" s="299">
        <f t="shared" si="0"/>
        <v>0.04112227183618508</v>
      </c>
      <c r="I40" s="254">
        <f t="shared" si="1"/>
        <v>0.20626819016831965</v>
      </c>
    </row>
    <row r="41" spans="1:9" ht="15" customHeight="1" thickBot="1">
      <c r="A41" s="259" t="s">
        <v>102</v>
      </c>
      <c r="B41" s="260" t="s">
        <v>64</v>
      </c>
      <c r="C41" s="258">
        <v>3.864402256845207</v>
      </c>
      <c r="D41" s="257" t="s">
        <v>195</v>
      </c>
      <c r="E41" s="258">
        <v>12.313856851615748</v>
      </c>
      <c r="F41" s="257"/>
      <c r="G41" s="300">
        <f t="shared" si="0"/>
        <v>8.449454594770542</v>
      </c>
      <c r="I41" s="254">
        <f t="shared" si="1"/>
        <v>2.18648423046633</v>
      </c>
    </row>
    <row r="42" spans="1:9" ht="8.25" customHeight="1" thickBot="1">
      <c r="A42" s="261"/>
      <c r="B42" s="262"/>
      <c r="C42" s="263"/>
      <c r="D42" s="263"/>
      <c r="E42" s="263"/>
      <c r="F42" s="263"/>
      <c r="G42" s="301"/>
      <c r="I42" s="254"/>
    </row>
    <row r="43" spans="1:9" ht="21" customHeight="1" thickBot="1">
      <c r="A43" s="264"/>
      <c r="B43" s="265" t="s">
        <v>65</v>
      </c>
      <c r="C43" s="266">
        <v>1.611709573158863</v>
      </c>
      <c r="D43" s="266"/>
      <c r="E43" s="266">
        <v>1.5705595523608642</v>
      </c>
      <c r="F43" s="266"/>
      <c r="G43" s="302">
        <f t="shared" si="0"/>
        <v>-0.0411500207979989</v>
      </c>
      <c r="I43" s="254">
        <f t="shared" si="1"/>
        <v>-0.02553190815721662</v>
      </c>
    </row>
    <row r="44" spans="1:7" ht="15" customHeight="1">
      <c r="A44" s="267"/>
      <c r="B44" s="268"/>
      <c r="C44" s="269"/>
      <c r="D44" s="269"/>
      <c r="E44" s="269"/>
      <c r="F44" s="269"/>
      <c r="G44" s="269"/>
    </row>
    <row r="45" spans="1:4" ht="14.25">
      <c r="A45" s="270" t="s">
        <v>160</v>
      </c>
      <c r="B45" s="292" t="s">
        <v>189</v>
      </c>
      <c r="C45" s="271"/>
      <c r="D45" s="271"/>
    </row>
    <row r="46" spans="1:4" ht="14.25">
      <c r="A46" s="272"/>
      <c r="B46" s="292" t="s">
        <v>203</v>
      </c>
      <c r="C46" s="273"/>
      <c r="D46" s="273"/>
    </row>
    <row r="47" spans="1:4" ht="14.25">
      <c r="A47" s="274"/>
      <c r="B47" s="292" t="s">
        <v>190</v>
      </c>
      <c r="C47" s="275"/>
      <c r="D47" s="275"/>
    </row>
    <row r="48" spans="2:7" ht="14.25">
      <c r="B48" s="316" t="s">
        <v>199</v>
      </c>
      <c r="C48" s="316"/>
      <c r="D48" s="316"/>
      <c r="E48" s="316"/>
      <c r="F48" s="316"/>
      <c r="G48" s="316"/>
    </row>
    <row r="49" spans="2:7" ht="14.25">
      <c r="B49" s="316" t="s">
        <v>200</v>
      </c>
      <c r="C49" s="316"/>
      <c r="D49" s="316"/>
      <c r="E49" s="316"/>
      <c r="F49" s="316"/>
      <c r="G49" s="316"/>
    </row>
    <row r="50" spans="2:7" ht="14.25" customHeight="1">
      <c r="B50" s="316" t="s">
        <v>201</v>
      </c>
      <c r="C50" s="316"/>
      <c r="D50" s="316"/>
      <c r="E50" s="316"/>
      <c r="F50" s="316"/>
      <c r="G50" s="316"/>
    </row>
    <row r="51" spans="2:7" ht="14.25" customHeight="1">
      <c r="B51" s="316" t="s">
        <v>202</v>
      </c>
      <c r="C51" s="316"/>
      <c r="D51" s="316"/>
      <c r="E51" s="316"/>
      <c r="F51" s="316"/>
      <c r="G51" s="316"/>
    </row>
  </sheetData>
  <sheetProtection/>
  <mergeCells count="5">
    <mergeCell ref="A1:G1"/>
    <mergeCell ref="B48:G48"/>
    <mergeCell ref="B49:G49"/>
    <mergeCell ref="B50:G50"/>
    <mergeCell ref="B51:G51"/>
  </mergeCells>
  <printOptions horizontalCentered="1"/>
  <pageMargins left="0" right="0" top="0.5" bottom="0.5" header="0.3" footer="0.3"/>
  <pageSetup fitToHeight="1" fitToWidth="1" horizontalDpi="600" verticalDpi="600" orientation="portrait" scale="92" r:id="rId1"/>
  <headerFooter alignWithMargins="0">
    <oddFooter>&amp;L&amp;8California Department of Insurance&amp;R&amp;8Rate Specialist Bureau  - 8/30/2022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SheetLayoutView="103"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445" customWidth="1"/>
    <col min="2" max="2" width="31.28125" style="437" customWidth="1"/>
    <col min="3" max="3" width="24.140625" style="446" bestFit="1" customWidth="1"/>
    <col min="4" max="4" width="19.140625" style="446" customWidth="1"/>
    <col min="5" max="5" width="9.140625" style="419" customWidth="1"/>
    <col min="6" max="6" width="9.140625" style="437" hidden="1" customWidth="1"/>
    <col min="7" max="16384" width="9.140625" style="437" customWidth="1"/>
  </cols>
  <sheetData>
    <row r="1" spans="1:5" s="420" customFormat="1" ht="17.25" customHeight="1">
      <c r="A1" s="418" t="s">
        <v>253</v>
      </c>
      <c r="B1" s="418"/>
      <c r="C1" s="418"/>
      <c r="D1" s="418"/>
      <c r="E1" s="419"/>
    </row>
    <row r="2" spans="1:5" s="420" customFormat="1" ht="18" customHeight="1">
      <c r="A2" s="421" t="s">
        <v>254</v>
      </c>
      <c r="B2" s="421"/>
      <c r="C2" s="421"/>
      <c r="D2" s="421"/>
      <c r="E2" s="419"/>
    </row>
    <row r="3" spans="1:5" s="420" customFormat="1" ht="12.75" customHeight="1">
      <c r="A3" s="422"/>
      <c r="B3" s="422"/>
      <c r="C3" s="422"/>
      <c r="D3" s="422"/>
      <c r="E3" s="419"/>
    </row>
    <row r="4" spans="1:5" s="420" customFormat="1" ht="12.75" customHeight="1">
      <c r="A4" s="422"/>
      <c r="B4" s="422"/>
      <c r="C4" s="422"/>
      <c r="D4" s="335"/>
      <c r="E4" s="419"/>
    </row>
    <row r="5" spans="1:5" s="424" customFormat="1" ht="6" customHeight="1" thickBot="1">
      <c r="A5" s="423"/>
      <c r="B5" s="423"/>
      <c r="C5" s="423"/>
      <c r="D5" s="423"/>
      <c r="E5" s="419"/>
    </row>
    <row r="6" spans="1:5" s="428" customFormat="1" ht="12.75" customHeight="1">
      <c r="A6" s="425"/>
      <c r="B6" s="426"/>
      <c r="C6" s="427" t="s">
        <v>34</v>
      </c>
      <c r="D6" s="425" t="s">
        <v>255</v>
      </c>
      <c r="E6" s="419"/>
    </row>
    <row r="7" spans="1:6" s="432" customFormat="1" ht="12.75" customHeight="1" thickBot="1">
      <c r="A7" s="429" t="s">
        <v>216</v>
      </c>
      <c r="B7" s="430" t="s">
        <v>0</v>
      </c>
      <c r="C7" s="431" t="s">
        <v>256</v>
      </c>
      <c r="D7" s="429" t="s">
        <v>15</v>
      </c>
      <c r="E7" s="419"/>
      <c r="F7" s="346" t="s">
        <v>220</v>
      </c>
    </row>
    <row r="8" spans="1:6" ht="15.75" customHeight="1">
      <c r="A8" s="433" t="s">
        <v>76</v>
      </c>
      <c r="B8" s="434" t="s">
        <v>41</v>
      </c>
      <c r="C8" s="435">
        <v>0.515166060245236</v>
      </c>
      <c r="D8" s="436">
        <v>1.7040300096297394</v>
      </c>
      <c r="F8" s="354" t="s">
        <v>161</v>
      </c>
    </row>
    <row r="9" spans="1:6" ht="12.75" customHeight="1">
      <c r="A9" s="438" t="s">
        <v>77</v>
      </c>
      <c r="B9" s="434" t="s">
        <v>42</v>
      </c>
      <c r="C9" s="435">
        <v>0.49642851354661766</v>
      </c>
      <c r="D9" s="435">
        <v>1.2313835016781414</v>
      </c>
      <c r="F9" s="354" t="s">
        <v>161</v>
      </c>
    </row>
    <row r="10" spans="1:6" ht="15" customHeight="1" hidden="1">
      <c r="A10" s="438" t="s">
        <v>221</v>
      </c>
      <c r="B10" s="434" t="s">
        <v>119</v>
      </c>
      <c r="C10" s="435">
        <v>0.29672756248244775</v>
      </c>
      <c r="D10" s="439"/>
      <c r="F10" s="354"/>
    </row>
    <row r="11" spans="1:6" ht="15" customHeight="1" hidden="1">
      <c r="A11" s="438" t="s">
        <v>222</v>
      </c>
      <c r="B11" s="434" t="s">
        <v>120</v>
      </c>
      <c r="C11" s="435">
        <v>0.5448629689605822</v>
      </c>
      <c r="D11" s="439"/>
      <c r="F11" s="354"/>
    </row>
    <row r="12" spans="1:6" ht="15" customHeight="1">
      <c r="A12" s="438" t="s">
        <v>180</v>
      </c>
      <c r="B12" s="434" t="s">
        <v>181</v>
      </c>
      <c r="C12" s="435">
        <v>0.026653810880407226</v>
      </c>
      <c r="D12" s="435">
        <v>0.8991543387409611</v>
      </c>
      <c r="F12" s="354" t="s">
        <v>161</v>
      </c>
    </row>
    <row r="13" spans="1:6" ht="15" customHeight="1">
      <c r="A13" s="438" t="s">
        <v>182</v>
      </c>
      <c r="B13" s="434" t="s">
        <v>183</v>
      </c>
      <c r="C13" s="435">
        <v>0.4800500837705896</v>
      </c>
      <c r="D13" s="435">
        <v>2.5288629074150526</v>
      </c>
      <c r="F13" s="354" t="s">
        <v>161</v>
      </c>
    </row>
    <row r="14" spans="1:6" ht="12.75" customHeight="1">
      <c r="A14" s="440" t="s">
        <v>78</v>
      </c>
      <c r="B14" s="434" t="s">
        <v>43</v>
      </c>
      <c r="C14" s="435">
        <v>0.47510354758054174</v>
      </c>
      <c r="D14" s="435">
        <v>2.824803964995678</v>
      </c>
      <c r="F14" s="354" t="s">
        <v>161</v>
      </c>
    </row>
    <row r="15" spans="1:6" ht="12.75" customHeight="1">
      <c r="A15" s="441" t="s">
        <v>79</v>
      </c>
      <c r="B15" s="434" t="s">
        <v>44</v>
      </c>
      <c r="C15" s="435">
        <v>0.5218297080127106</v>
      </c>
      <c r="D15" s="435">
        <v>1.3010095886105004</v>
      </c>
      <c r="F15" s="354" t="s">
        <v>161</v>
      </c>
    </row>
    <row r="16" spans="1:6" ht="12.75" customHeight="1">
      <c r="A16" s="441" t="s">
        <v>142</v>
      </c>
      <c r="B16" s="434" t="s">
        <v>141</v>
      </c>
      <c r="C16" s="435">
        <v>0.4839263184674723</v>
      </c>
      <c r="D16" s="435">
        <v>2.0377358580832317</v>
      </c>
      <c r="F16" s="354" t="s">
        <v>161</v>
      </c>
    </row>
    <row r="17" spans="1:6" ht="12.75" customHeight="1">
      <c r="A17" s="441" t="s">
        <v>80</v>
      </c>
      <c r="B17" s="434" t="s">
        <v>257</v>
      </c>
      <c r="C17" s="435">
        <v>0.48502164469252623</v>
      </c>
      <c r="D17" s="435">
        <v>1.0191601205006116</v>
      </c>
      <c r="F17" s="354" t="s">
        <v>161</v>
      </c>
    </row>
    <row r="18" spans="1:6" ht="12.75" customHeight="1">
      <c r="A18" s="441" t="s">
        <v>81</v>
      </c>
      <c r="B18" s="434" t="s">
        <v>258</v>
      </c>
      <c r="C18" s="435">
        <v>0.48202380222454394</v>
      </c>
      <c r="D18" s="435">
        <v>3.3123146730476747</v>
      </c>
      <c r="F18" s="354" t="s">
        <v>161</v>
      </c>
    </row>
    <row r="19" spans="1:6" ht="15" customHeight="1" hidden="1">
      <c r="A19" s="441" t="s">
        <v>82</v>
      </c>
      <c r="B19" s="434" t="s">
        <v>47</v>
      </c>
      <c r="C19" s="435">
        <v>0.2866529011008425</v>
      </c>
      <c r="D19" s="439"/>
      <c r="F19" s="354"/>
    </row>
    <row r="20" spans="1:6" ht="15" customHeight="1" hidden="1">
      <c r="A20" s="441" t="s">
        <v>83</v>
      </c>
      <c r="B20" s="434" t="s">
        <v>84</v>
      </c>
      <c r="C20" s="435">
        <v>0.39086466807961906</v>
      </c>
      <c r="D20" s="439"/>
      <c r="F20" s="354"/>
    </row>
    <row r="21" spans="1:6" ht="12.75" customHeight="1">
      <c r="A21" s="441" t="s">
        <v>85</v>
      </c>
      <c r="B21" s="434" t="s">
        <v>48</v>
      </c>
      <c r="C21" s="435">
        <v>0.27369996801304597</v>
      </c>
      <c r="D21" s="435">
        <v>0.6077023931374855</v>
      </c>
      <c r="F21" s="354" t="s">
        <v>161</v>
      </c>
    </row>
    <row r="22" spans="1:6" ht="15" customHeight="1" hidden="1">
      <c r="A22" s="438">
        <v>10</v>
      </c>
      <c r="B22" s="434" t="s">
        <v>49</v>
      </c>
      <c r="C22" s="435">
        <v>6.814960843072568</v>
      </c>
      <c r="D22" s="439"/>
      <c r="F22" s="354"/>
    </row>
    <row r="23" spans="1:6" ht="12.75" customHeight="1">
      <c r="A23" s="438">
        <v>11</v>
      </c>
      <c r="B23" s="434" t="s">
        <v>158</v>
      </c>
      <c r="C23" s="435">
        <v>0.5157906798621074</v>
      </c>
      <c r="D23" s="435">
        <v>3.7595937759163247</v>
      </c>
      <c r="F23" s="354" t="s">
        <v>161</v>
      </c>
    </row>
    <row r="24" spans="1:6" ht="12.75" customHeight="1">
      <c r="A24" s="438">
        <v>11.1</v>
      </c>
      <c r="B24" s="434" t="s">
        <v>227</v>
      </c>
      <c r="C24" s="435">
        <v>0.6507020801971031</v>
      </c>
      <c r="D24" s="435">
        <v>5.681739994784329</v>
      </c>
      <c r="F24" s="354" t="s">
        <v>161</v>
      </c>
    </row>
    <row r="25" spans="1:6" ht="12.75" customHeight="1">
      <c r="A25" s="438">
        <v>11.2</v>
      </c>
      <c r="B25" s="434" t="s">
        <v>228</v>
      </c>
      <c r="C25" s="435">
        <v>0.47360440103971485</v>
      </c>
      <c r="D25" s="435">
        <v>3.183407940198822</v>
      </c>
      <c r="F25" s="354" t="s">
        <v>161</v>
      </c>
    </row>
    <row r="26" spans="1:6" ht="12.75" customHeight="1">
      <c r="A26" s="438">
        <v>12</v>
      </c>
      <c r="B26" s="434" t="s">
        <v>164</v>
      </c>
      <c r="C26" s="435">
        <v>0.48451621817511087</v>
      </c>
      <c r="D26" s="435">
        <v>1</v>
      </c>
      <c r="F26" s="354" t="s">
        <v>161</v>
      </c>
    </row>
    <row r="27" spans="1:6" ht="15" customHeight="1" hidden="1">
      <c r="A27" s="438">
        <v>13</v>
      </c>
      <c r="B27" s="434" t="s">
        <v>121</v>
      </c>
      <c r="C27" s="435">
        <v>0.9720612639147763</v>
      </c>
      <c r="D27" s="439"/>
      <c r="F27" s="354"/>
    </row>
    <row r="28" spans="1:6" ht="15" customHeight="1" hidden="1">
      <c r="A28" s="438">
        <v>14</v>
      </c>
      <c r="B28" s="434" t="s">
        <v>122</v>
      </c>
      <c r="C28" s="435">
        <v>0.5421492483081255</v>
      </c>
      <c r="D28" s="439"/>
      <c r="F28" s="354"/>
    </row>
    <row r="29" spans="1:6" ht="15" customHeight="1" hidden="1">
      <c r="A29" s="438">
        <v>15.1</v>
      </c>
      <c r="B29" s="434" t="s">
        <v>123</v>
      </c>
      <c r="C29" s="435">
        <v>0.13173168081022962</v>
      </c>
      <c r="D29" s="439"/>
      <c r="F29" s="354"/>
    </row>
    <row r="30" spans="1:6" ht="15" customHeight="1" hidden="1">
      <c r="A30" s="438">
        <v>15.2</v>
      </c>
      <c r="B30" s="434" t="s">
        <v>128</v>
      </c>
      <c r="C30" s="435">
        <v>0.013814616755793227</v>
      </c>
      <c r="D30" s="439"/>
      <c r="F30" s="354"/>
    </row>
    <row r="31" spans="1:6" ht="15" customHeight="1" hidden="1">
      <c r="A31" s="438">
        <v>15.3</v>
      </c>
      <c r="B31" s="434" t="s">
        <v>129</v>
      </c>
      <c r="C31" s="435">
        <v>12.981584382607723</v>
      </c>
      <c r="D31" s="439"/>
      <c r="F31" s="354"/>
    </row>
    <row r="32" spans="1:6" ht="15" customHeight="1" hidden="1">
      <c r="A32" s="438">
        <v>15.4</v>
      </c>
      <c r="B32" s="434" t="s">
        <v>130</v>
      </c>
      <c r="C32" s="435">
        <v>0.4144942402077248</v>
      </c>
      <c r="D32" s="439"/>
      <c r="F32" s="354"/>
    </row>
    <row r="33" spans="1:6" ht="15" customHeight="1" hidden="1">
      <c r="A33" s="438">
        <v>15.5</v>
      </c>
      <c r="B33" s="434" t="s">
        <v>131</v>
      </c>
      <c r="C33" s="435">
        <v>0.3953290082065144</v>
      </c>
      <c r="D33" s="439"/>
      <c r="F33" s="354"/>
    </row>
    <row r="34" spans="1:6" ht="15" customHeight="1" hidden="1">
      <c r="A34" s="438">
        <v>15.6</v>
      </c>
      <c r="B34" s="434" t="s">
        <v>229</v>
      </c>
      <c r="C34" s="435">
        <v>0</v>
      </c>
      <c r="D34" s="439"/>
      <c r="F34" s="354"/>
    </row>
    <row r="35" spans="1:6" ht="15" customHeight="1" hidden="1">
      <c r="A35" s="438">
        <v>15.7</v>
      </c>
      <c r="B35" s="434" t="s">
        <v>132</v>
      </c>
      <c r="C35" s="435">
        <v>0.18496344295125206</v>
      </c>
      <c r="D35" s="439"/>
      <c r="F35" s="354"/>
    </row>
    <row r="36" spans="1:6" ht="15" customHeight="1" hidden="1">
      <c r="A36" s="438">
        <v>15.8</v>
      </c>
      <c r="B36" s="434" t="s">
        <v>133</v>
      </c>
      <c r="C36" s="435">
        <v>0</v>
      </c>
      <c r="D36" s="439"/>
      <c r="F36" s="354"/>
    </row>
    <row r="37" spans="1:6" ht="15" customHeight="1" hidden="1">
      <c r="A37" s="438">
        <v>16</v>
      </c>
      <c r="B37" s="434" t="s">
        <v>124</v>
      </c>
      <c r="C37" s="435">
        <v>0.319189012795209</v>
      </c>
      <c r="D37" s="439"/>
      <c r="F37" s="354"/>
    </row>
    <row r="38" spans="1:6" ht="12.75" customHeight="1">
      <c r="A38" s="438">
        <v>17</v>
      </c>
      <c r="B38" s="434" t="s">
        <v>52</v>
      </c>
      <c r="C38" s="435">
        <v>0.5852881999043482</v>
      </c>
      <c r="D38" s="435">
        <v>2.9111888031361275</v>
      </c>
      <c r="F38" s="354" t="s">
        <v>161</v>
      </c>
    </row>
    <row r="39" spans="1:6" ht="12.75" customHeight="1">
      <c r="A39" s="438">
        <v>17.1</v>
      </c>
      <c r="B39" s="434" t="s">
        <v>231</v>
      </c>
      <c r="C39" s="435">
        <v>0.552955031848624</v>
      </c>
      <c r="D39" s="435">
        <v>3.3465701709731945</v>
      </c>
      <c r="F39" s="354" t="s">
        <v>161</v>
      </c>
    </row>
    <row r="40" spans="1:6" ht="12.75" customHeight="1">
      <c r="A40" s="438">
        <v>17.2</v>
      </c>
      <c r="B40" s="434" t="s">
        <v>232</v>
      </c>
      <c r="C40" s="435">
        <v>0.6179280894492429</v>
      </c>
      <c r="D40" s="435">
        <v>2.364961728830746</v>
      </c>
      <c r="F40" s="354" t="s">
        <v>161</v>
      </c>
    </row>
    <row r="41" spans="1:6" ht="15" customHeight="1" hidden="1">
      <c r="A41" s="438">
        <v>17.3</v>
      </c>
      <c r="B41" s="434" t="s">
        <v>233</v>
      </c>
      <c r="C41" s="435">
        <v>0.3906738113686162</v>
      </c>
      <c r="D41" s="439"/>
      <c r="F41" s="354"/>
    </row>
    <row r="42" spans="1:6" ht="12.75" customHeight="1">
      <c r="A42" s="438">
        <v>18</v>
      </c>
      <c r="B42" s="434" t="s">
        <v>53</v>
      </c>
      <c r="C42" s="435">
        <v>0.5141351047441002</v>
      </c>
      <c r="D42" s="435">
        <v>4.8877985793418555</v>
      </c>
      <c r="F42" s="354" t="s">
        <v>161</v>
      </c>
    </row>
    <row r="43" spans="1:6" ht="12.75" customHeight="1">
      <c r="A43" s="438">
        <v>18.1</v>
      </c>
      <c r="B43" s="434" t="s">
        <v>234</v>
      </c>
      <c r="C43" s="435">
        <v>0.5135974699360848</v>
      </c>
      <c r="D43" s="435">
        <v>4.931548910547543</v>
      </c>
      <c r="F43" s="354" t="s">
        <v>161</v>
      </c>
    </row>
    <row r="44" spans="1:6" ht="12.75" customHeight="1">
      <c r="A44" s="438">
        <v>18.2</v>
      </c>
      <c r="B44" s="434" t="s">
        <v>235</v>
      </c>
      <c r="C44" s="435">
        <v>0.5167134736622319</v>
      </c>
      <c r="D44" s="435">
        <v>4.532679421204925</v>
      </c>
      <c r="F44" s="354" t="s">
        <v>161</v>
      </c>
    </row>
    <row r="45" spans="1:6" ht="15" customHeight="1" hidden="1">
      <c r="A45" s="438">
        <v>19.1</v>
      </c>
      <c r="B45" s="434" t="s">
        <v>126</v>
      </c>
      <c r="C45" s="435">
        <v>-0.02076113599864762</v>
      </c>
      <c r="D45" s="439"/>
      <c r="F45" s="354"/>
    </row>
    <row r="46" spans="1:6" ht="12.75" customHeight="1">
      <c r="A46" s="438" t="s">
        <v>176</v>
      </c>
      <c r="B46" s="434" t="s">
        <v>154</v>
      </c>
      <c r="C46" s="435">
        <v>0.32312297334362844</v>
      </c>
      <c r="D46" s="435">
        <v>0.7694610843565538</v>
      </c>
      <c r="F46" s="354" t="s">
        <v>161</v>
      </c>
    </row>
    <row r="47" spans="1:6" ht="12.75" customHeight="1">
      <c r="A47" s="438">
        <v>19.2</v>
      </c>
      <c r="B47" s="434" t="s">
        <v>54</v>
      </c>
      <c r="C47" s="435">
        <v>0.32027023269708416</v>
      </c>
      <c r="D47" s="435">
        <v>1.3266740292453059</v>
      </c>
      <c r="F47" s="354" t="s">
        <v>161</v>
      </c>
    </row>
    <row r="48" spans="1:6" ht="15" customHeight="1" hidden="1">
      <c r="A48" s="438">
        <v>19.3</v>
      </c>
      <c r="B48" s="434" t="s">
        <v>252</v>
      </c>
      <c r="C48" s="435">
        <v>0.6692499356808302</v>
      </c>
      <c r="D48" s="439"/>
      <c r="F48" s="354"/>
    </row>
    <row r="49" spans="1:6" ht="12.75" customHeight="1">
      <c r="A49" s="438" t="s">
        <v>177</v>
      </c>
      <c r="B49" s="434" t="s">
        <v>155</v>
      </c>
      <c r="C49" s="435">
        <v>0.4219470089299476</v>
      </c>
      <c r="D49" s="435">
        <v>1.6888976477144795</v>
      </c>
      <c r="F49" s="354" t="s">
        <v>161</v>
      </c>
    </row>
    <row r="50" spans="1:6" ht="12.75" customHeight="1">
      <c r="A50" s="438">
        <v>19.4</v>
      </c>
      <c r="B50" s="434" t="s">
        <v>55</v>
      </c>
      <c r="C50" s="435">
        <v>0.41925110530461207</v>
      </c>
      <c r="D50" s="435">
        <v>1.9240568199838088</v>
      </c>
      <c r="F50" s="354" t="s">
        <v>161</v>
      </c>
    </row>
    <row r="51" spans="1:6" ht="12.75" customHeight="1">
      <c r="A51" s="438">
        <v>21.1</v>
      </c>
      <c r="B51" s="434" t="s">
        <v>56</v>
      </c>
      <c r="C51" s="435">
        <v>0.3268202539482032</v>
      </c>
      <c r="D51" s="435">
        <v>0.0918962140764586</v>
      </c>
      <c r="F51" s="354" t="s">
        <v>161</v>
      </c>
    </row>
    <row r="52" spans="1:6" ht="12.75" customHeight="1">
      <c r="A52" s="438">
        <v>21.2</v>
      </c>
      <c r="B52" s="434" t="s">
        <v>57</v>
      </c>
      <c r="C52" s="435">
        <v>0.43261817958907034</v>
      </c>
      <c r="D52" s="435">
        <v>0.373189937049087</v>
      </c>
      <c r="F52" s="354" t="s">
        <v>161</v>
      </c>
    </row>
    <row r="53" spans="1:6" ht="12.75" customHeight="1">
      <c r="A53" s="438">
        <v>22</v>
      </c>
      <c r="B53" s="434" t="s">
        <v>58</v>
      </c>
      <c r="C53" s="435">
        <v>0.37709210011505745</v>
      </c>
      <c r="D53" s="435">
        <v>1.6026870856101356</v>
      </c>
      <c r="F53" s="354" t="s">
        <v>161</v>
      </c>
    </row>
    <row r="54" spans="1:6" ht="12.75" customHeight="1">
      <c r="A54" s="438">
        <v>23</v>
      </c>
      <c r="B54" s="434" t="s">
        <v>59</v>
      </c>
      <c r="C54" s="435">
        <v>0.5893802344505663</v>
      </c>
      <c r="D54" s="435">
        <v>2.512382243045405</v>
      </c>
      <c r="F54" s="354" t="s">
        <v>161</v>
      </c>
    </row>
    <row r="55" spans="1:6" ht="12.75" customHeight="1">
      <c r="A55" s="438">
        <v>24</v>
      </c>
      <c r="B55" s="434" t="s">
        <v>60</v>
      </c>
      <c r="C55" s="435">
        <v>0.6073191033273242</v>
      </c>
      <c r="D55" s="435">
        <v>5.20033489142356</v>
      </c>
      <c r="F55" s="354" t="s">
        <v>161</v>
      </c>
    </row>
    <row r="56" spans="1:6" ht="12.75" customHeight="1">
      <c r="A56" s="438">
        <v>26</v>
      </c>
      <c r="B56" s="434" t="s">
        <v>163</v>
      </c>
      <c r="C56" s="435">
        <v>0.57014870884825</v>
      </c>
      <c r="D56" s="435">
        <v>1.007113416222989</v>
      </c>
      <c r="F56" s="354" t="s">
        <v>161</v>
      </c>
    </row>
    <row r="57" spans="1:6" ht="12.75" customHeight="1">
      <c r="A57" s="438">
        <v>27</v>
      </c>
      <c r="B57" s="434" t="s">
        <v>62</v>
      </c>
      <c r="C57" s="435">
        <v>0.553078319430347</v>
      </c>
      <c r="D57" s="435">
        <v>2.780279337907231</v>
      </c>
      <c r="F57" s="354" t="s">
        <v>161</v>
      </c>
    </row>
    <row r="58" spans="1:6" ht="12.75" customHeight="1">
      <c r="A58" s="438">
        <v>28</v>
      </c>
      <c r="B58" s="434" t="s">
        <v>63</v>
      </c>
      <c r="C58" s="435">
        <v>0.41329263224855217</v>
      </c>
      <c r="D58" s="435">
        <v>12.237739293459976</v>
      </c>
      <c r="F58" s="354" t="s">
        <v>161</v>
      </c>
    </row>
    <row r="59" spans="1:6" ht="12.75" customHeight="1" hidden="1">
      <c r="A59" s="407">
        <v>29</v>
      </c>
      <c r="B59" s="400" t="s">
        <v>242</v>
      </c>
      <c r="C59" s="435">
        <v>-0.32534043812907043</v>
      </c>
      <c r="D59" s="439"/>
      <c r="F59" s="354"/>
    </row>
    <row r="60" spans="1:6" ht="12.75" customHeight="1">
      <c r="A60" s="438">
        <v>30</v>
      </c>
      <c r="B60" s="434" t="s">
        <v>156</v>
      </c>
      <c r="C60" s="435">
        <v>1.799968568570441</v>
      </c>
      <c r="D60" s="435">
        <v>0.24048540098677457</v>
      </c>
      <c r="F60" s="354" t="s">
        <v>161</v>
      </c>
    </row>
    <row r="61" spans="1:6" ht="12.75" customHeight="1">
      <c r="A61" s="438">
        <v>34</v>
      </c>
      <c r="B61" s="434" t="s">
        <v>64</v>
      </c>
      <c r="C61" s="435">
        <v>0.3721787623231551</v>
      </c>
      <c r="D61" s="435">
        <v>12.313856851615748</v>
      </c>
      <c r="F61" s="354" t="s">
        <v>161</v>
      </c>
    </row>
    <row r="62" spans="1:6" ht="15" customHeight="1" hidden="1">
      <c r="A62" s="438">
        <v>35</v>
      </c>
      <c r="B62" s="434" t="s">
        <v>65</v>
      </c>
      <c r="C62" s="435">
        <v>0.4371003516375123</v>
      </c>
      <c r="D62" s="439"/>
      <c r="F62" s="354"/>
    </row>
    <row r="63" spans="1:6" ht="12.75" customHeight="1">
      <c r="A63" s="438"/>
      <c r="B63" s="434" t="s">
        <v>244</v>
      </c>
      <c r="C63" s="435">
        <v>0.43489410908473886</v>
      </c>
      <c r="D63" s="435">
        <v>1.5705595523608642</v>
      </c>
      <c r="F63" s="354" t="s">
        <v>161</v>
      </c>
    </row>
    <row r="64" spans="1:6" ht="12.75" customHeight="1">
      <c r="A64" s="442"/>
      <c r="B64" s="443"/>
      <c r="C64" s="444"/>
      <c r="D64" s="444"/>
      <c r="F64" s="354"/>
    </row>
    <row r="65" ht="11.25" customHeight="1"/>
    <row r="66" spans="1:5" s="451" customFormat="1" ht="12">
      <c r="A66" s="447" t="s">
        <v>160</v>
      </c>
      <c r="B66" s="448"/>
      <c r="C66" s="449"/>
      <c r="D66" s="449"/>
      <c r="E66" s="450"/>
    </row>
    <row r="67" spans="1:5" ht="12" customHeight="1">
      <c r="A67" s="447" t="s">
        <v>259</v>
      </c>
      <c r="B67" s="447"/>
      <c r="C67" s="447"/>
      <c r="D67" s="447"/>
      <c r="E67" s="447"/>
    </row>
    <row r="68" spans="1:5" ht="12" customHeight="1">
      <c r="A68" s="452" t="s">
        <v>260</v>
      </c>
      <c r="B68" s="452"/>
      <c r="C68" s="452"/>
      <c r="D68" s="452"/>
      <c r="E68" s="452"/>
    </row>
    <row r="69" spans="1:5" ht="12" customHeight="1">
      <c r="A69" s="447" t="s">
        <v>261</v>
      </c>
      <c r="B69" s="447"/>
      <c r="C69" s="447"/>
      <c r="D69" s="447"/>
      <c r="E69" s="447"/>
    </row>
  </sheetData>
  <sheetProtection/>
  <mergeCells count="2">
    <mergeCell ref="A1:D1"/>
    <mergeCell ref="A2:D2"/>
  </mergeCells>
  <printOptions horizontalCentered="1"/>
  <pageMargins left="1" right="1" top="1" bottom="0.5" header="0.3" footer="0.3"/>
  <pageSetup fitToHeight="1" fitToWidth="1" horizontalDpi="600" verticalDpi="600" orientation="portrait" scale="98" r:id="rId1"/>
  <headerFooter alignWithMargins="0">
    <oddFooter>&amp;L&amp;9California Department of Insurance&amp;R&amp;9Rate Specialist Bureau - 10/5/2022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317"/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Yen</dc:creator>
  <cp:keywords/>
  <dc:description/>
  <cp:lastModifiedBy>Choy, Carol</cp:lastModifiedBy>
  <cp:lastPrinted>2023-01-29T08:49:41Z</cp:lastPrinted>
  <dcterms:created xsi:type="dcterms:W3CDTF">2006-09-26T02:28:32Z</dcterms:created>
  <dcterms:modified xsi:type="dcterms:W3CDTF">2023-01-29T08:49:52Z</dcterms:modified>
  <cp:category/>
  <cp:version/>
  <cp:contentType/>
  <cp:contentStatus/>
</cp:coreProperties>
</file>