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uep_res" sheetId="1" r:id="rId1"/>
    <sheet name="uep_res_19&amp;20" sheetId="2" r:id="rId2"/>
    <sheet name="reserve ratio" sheetId="3" r:id="rId3"/>
    <sheet name="aoe_2020" sheetId="4" r:id="rId4"/>
    <sheet name="aoe_2019" sheetId="5" r:id="rId5"/>
    <sheet name="reserve ratio 20 vs 19" sheetId="6" r:id="rId6"/>
    <sheet name="uep_ls _res" sheetId="7" r:id="rId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'uep_res'!$A$1:$G$62</definedName>
    <definedName name="_xlnm.Print_Area" localSheetId="1">'uep_res_19&amp;20'!$A$1:$E$62</definedName>
    <definedName name="_xlnm.Print_Titles" localSheetId="0">'uep_res'!$1:$6</definedName>
  </definedNames>
  <calcPr fullCalcOnLoad="1"/>
</workbook>
</file>

<file path=xl/comments1.xml><?xml version="1.0" encoding="utf-8"?>
<comments xmlns="http://schemas.openxmlformats.org/spreadsheetml/2006/main">
  <authors>
    <author>Department of Insurance</author>
  </authors>
  <commentList>
    <comment ref="I21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<sst xmlns="http://schemas.openxmlformats.org/spreadsheetml/2006/main" count="945" uniqueCount="230">
  <si>
    <t>2020 California Loss Reserve Ratio</t>
  </si>
  <si>
    <t>New method for calculating Burglary and Theft Loss Reserve Ratio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</si>
  <si>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</si>
  <si>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</si>
  <si>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</si>
  <si>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</si>
  <si>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</si>
  <si>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</si>
  <si>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</si>
  <si>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</si>
  <si>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</si>
  <si>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[9a]</t>
  </si>
  <si>
    <t>[9b]</t>
  </si>
  <si>
    <t>[10]</t>
  </si>
  <si>
    <t>[11]</t>
  </si>
  <si>
    <t>For Burglary and Theft, the loss ratio shall be the dollar-weighted average of the</t>
  </si>
  <si>
    <t>Only for the TOTAL row</t>
  </si>
  <si>
    <t>loss reserve ratios for fire, allied lines and inland marine</t>
  </si>
  <si>
    <t>Line of Business</t>
  </si>
  <si>
    <t>CA Incurred Loss</t>
  </si>
  <si>
    <t>CA DCCE</t>
  </si>
  <si>
    <t>TL IL&amp;DCCE</t>
  </si>
  <si>
    <t>CA Loss Unpaid</t>
  </si>
  <si>
    <t>CA DCCE Unpaid</t>
  </si>
  <si>
    <t>Allocated CA AOE Unpaid</t>
  </si>
  <si>
    <t>sum [4] thru [9]</t>
  </si>
  <si>
    <t>[9a]/2</t>
  </si>
  <si>
    <t>Loss Reserve Ratio</t>
  </si>
  <si>
    <t>Loss Incurred</t>
  </si>
  <si>
    <t>%</t>
  </si>
  <si>
    <t>[11] = [10]*[3]</t>
  </si>
  <si>
    <t>[A] = sum[4] thru [9]</t>
  </si>
  <si>
    <t>[B] = [3]</t>
  </si>
  <si>
    <t>0.5(A/B)</t>
  </si>
  <si>
    <t>[3] = [1] + [2]</t>
  </si>
  <si>
    <t>[10] = 0.5([4]+[5]+[6]+[7]+[8]+[9])/[3]</t>
  </si>
  <si>
    <t>p9_pt2_7</t>
  </si>
  <si>
    <t>(Loss Reserve Ratio) * (TL IL &amp; DCCE)</t>
  </si>
  <si>
    <t>Sum of 2016 (CA Loss Unpaid, CA DCCE Unpaid, Alloc CA AOE Unpaid) and 2015 (CA Loss Unpaid, CA DCCE Unpaid, Alloc CA AOE Unpaid)</t>
  </si>
  <si>
    <t>Loss Reserve Ratio for Burglary&amp;Theft</t>
  </si>
  <si>
    <t>hide</t>
  </si>
  <si>
    <t>01</t>
  </si>
  <si>
    <t>FIRE</t>
  </si>
  <si>
    <t>*****</t>
  </si>
  <si>
    <t>*</t>
  </si>
  <si>
    <t>02.1</t>
  </si>
  <si>
    <t>ALLIED LINES</t>
  </si>
  <si>
    <t>02.4</t>
  </si>
  <si>
    <t>PRIVATE CROP</t>
  </si>
  <si>
    <t>02.5</t>
  </si>
  <si>
    <t>PRIVATE FLOOD</t>
  </si>
  <si>
    <t>03</t>
  </si>
  <si>
    <t>FARMOWNER MP</t>
  </si>
  <si>
    <t>04</t>
  </si>
  <si>
    <t>HOMEOWNER MP</t>
  </si>
  <si>
    <t>05</t>
  </si>
  <si>
    <t>CMP</t>
  </si>
  <si>
    <t>05.1</t>
  </si>
  <si>
    <t xml:space="preserve">   CMP (N-LIAB)</t>
  </si>
  <si>
    <t>****</t>
  </si>
  <si>
    <t>05.2</t>
  </si>
  <si>
    <t xml:space="preserve">   CMP (LIAB)</t>
  </si>
  <si>
    <t>09</t>
  </si>
  <si>
    <t>INLAND MRN</t>
  </si>
  <si>
    <t>11</t>
  </si>
  <si>
    <t>MED PROF LIAB</t>
  </si>
  <si>
    <t>11.1</t>
  </si>
  <si>
    <t xml:space="preserve">   MED PROF LIAB (OCC)</t>
  </si>
  <si>
    <t>11.2</t>
  </si>
  <si>
    <t xml:space="preserve">   MED PROF LIAB (CM)</t>
  </si>
  <si>
    <t/>
  </si>
  <si>
    <t>12</t>
  </si>
  <si>
    <t>EARTHQUAKE *</t>
  </si>
  <si>
    <t>17</t>
  </si>
  <si>
    <t>OTHER LIAB</t>
  </si>
  <si>
    <t>17.1</t>
  </si>
  <si>
    <t xml:space="preserve">   OTHER LIAB (OCC)</t>
  </si>
  <si>
    <t>17.2</t>
  </si>
  <si>
    <t xml:space="preserve">   OTHER LIAB (CM)</t>
  </si>
  <si>
    <t>18</t>
  </si>
  <si>
    <t>PROD LIAB</t>
  </si>
  <si>
    <t>18.1</t>
  </si>
  <si>
    <t xml:space="preserve">   PROD LIAB (OCC)</t>
  </si>
  <si>
    <t>18.2</t>
  </si>
  <si>
    <t xml:space="preserve">   PROD LIAB (CM)</t>
  </si>
  <si>
    <t>19.2 &amp; 21.1</t>
  </si>
  <si>
    <t>PPA LIAB &amp; PD</t>
  </si>
  <si>
    <t>19.2</t>
  </si>
  <si>
    <t>PPA LIAB</t>
  </si>
  <si>
    <t>19.4 &amp; 21.2</t>
  </si>
  <si>
    <t>COMLA LIAB &amp; PD</t>
  </si>
  <si>
    <t>19.4</t>
  </si>
  <si>
    <t>COMLA LIAB</t>
  </si>
  <si>
    <t>21.1</t>
  </si>
  <si>
    <t>PPA PD</t>
  </si>
  <si>
    <t>21.2</t>
  </si>
  <si>
    <t>COMLA PD</t>
  </si>
  <si>
    <t>22</t>
  </si>
  <si>
    <t>AIRCRAFT</t>
  </si>
  <si>
    <t>***</t>
  </si>
  <si>
    <t>23</t>
  </si>
  <si>
    <t>FIDELITY</t>
  </si>
  <si>
    <t>24</t>
  </si>
  <si>
    <t>SURETY</t>
  </si>
  <si>
    <t>26</t>
  </si>
  <si>
    <t>BRGLRY THEFT **</t>
  </si>
  <si>
    <t>**</t>
  </si>
  <si>
    <t>27</t>
  </si>
  <si>
    <t>BLR &amp; MCHNRY</t>
  </si>
  <si>
    <t>28</t>
  </si>
  <si>
    <t>CREDIT</t>
  </si>
  <si>
    <t>30</t>
  </si>
  <si>
    <t>WARRANTY</t>
  </si>
  <si>
    <t>34</t>
  </si>
  <si>
    <t>AGG WI</t>
  </si>
  <si>
    <t>TOTAL</t>
  </si>
  <si>
    <t>The Loss Reserve Ratio in the Total row is:  Sum of [11] divided by sum of [3]</t>
  </si>
  <si>
    <t>Notes:</t>
  </si>
  <si>
    <t>The Loss Reserve Ratio for Earthquake = 1.00</t>
  </si>
  <si>
    <t>The Loss Reserve Ratio for Burglary and Theft is the dollar-weighted average of the Loss Reserve Ratios for Fire, Allied Lines and Inland Marine.</t>
  </si>
  <si>
    <t>These Loss Reserve Ratios are based on a 3-year weighted average due to anomalies in the data.</t>
  </si>
  <si>
    <t>These Loss Reserve Ratios are based on a 4-year weighted average due to anomalies in the data.</t>
  </si>
  <si>
    <t>These Loss Reserve Ratios are based on a 5-year weighted average due to anomalies in the data.</t>
  </si>
  <si>
    <t>TOTAL - Loss Reserve Ratios are before adjustment.</t>
  </si>
  <si>
    <t>2020 Allocation of AOE Reserves to California</t>
  </si>
  <si>
    <t>CW AOE</t>
  </si>
  <si>
    <t xml:space="preserve">CW Loss </t>
  </si>
  <si>
    <t>CW DCCE</t>
  </si>
  <si>
    <t>CA Loss</t>
  </si>
  <si>
    <t xml:space="preserve">CA DCCE </t>
  </si>
  <si>
    <t>Allocated CA</t>
  </si>
  <si>
    <t>Net Losses</t>
  </si>
  <si>
    <t>Unpaid</t>
  </si>
  <si>
    <t xml:space="preserve"> Unpaid</t>
  </si>
  <si>
    <t>AOE Unpaid</t>
  </si>
  <si>
    <t xml:space="preserve">Unpaid </t>
  </si>
  <si>
    <t>(000 omitted)</t>
  </si>
  <si>
    <t>[1]([4]+[5])/([2]+[3])</t>
  </si>
  <si>
    <t>CMP (N-LIAB)</t>
  </si>
  <si>
    <t>CMP (LIAB)</t>
  </si>
  <si>
    <t>EARTHQUAKE</t>
  </si>
  <si>
    <t>BRGLRY THEFT</t>
  </si>
  <si>
    <t>2019 Allocation of AOE Reserves to California</t>
  </si>
  <si>
    <t>Comparison of</t>
  </si>
  <si>
    <t>2019 vs 2020</t>
  </si>
  <si>
    <t>[3] = [2] - [1]</t>
  </si>
  <si>
    <t>% change</t>
  </si>
  <si>
    <t xml:space="preserve">   MED PROF LIAB(CM)</t>
  </si>
  <si>
    <t>*       The Loss Reserve Ratio for Earthquake = 1.00.</t>
  </si>
  <si>
    <t>**     The Loss Reserve Ratio for Burglary and Theft is the dollar-weighted average of the Loss Reserve Ratios</t>
  </si>
  <si>
    <t xml:space="preserve">         for Fire, Allied Lines and Inland Marine.</t>
  </si>
  <si>
    <t>***   These Loss Reserve Ratios are based on a 3-year weighted average due to anomalies in the data.</t>
  </si>
  <si>
    <t>****  These Loss Reserve Ratios are based on a 4-year weighted average due to anomalies in the data.</t>
  </si>
  <si>
    <t>*****  These Loss Reserve Ratios are based on a 5-year weighted average due to anomalies in the data.</t>
  </si>
  <si>
    <t>2020 SUMMARY OF BY-LINE UNEARNED PREMIUM RESERVE RATIO</t>
  </si>
  <si>
    <t>Two-Year Average Unearned Premium to Earned Premium</t>
  </si>
  <si>
    <t>2020 CA Direct</t>
  </si>
  <si>
    <t>2020 CA UEP</t>
  </si>
  <si>
    <t>2019 CA UEP</t>
  </si>
  <si>
    <t>2-Year Average</t>
  </si>
  <si>
    <t>UEP RSV</t>
  </si>
  <si>
    <t>Line #</t>
  </si>
  <si>
    <t>Earned Premium</t>
  </si>
  <si>
    <t>Reserves</t>
  </si>
  <si>
    <t>Ratio</t>
  </si>
  <si>
    <t>calculated</t>
  </si>
  <si>
    <t>display</t>
  </si>
  <si>
    <t>02.2</t>
  </si>
  <si>
    <t>MP CROP</t>
  </si>
  <si>
    <t>02.3</t>
  </si>
  <si>
    <t>FED FLOOD</t>
  </si>
  <si>
    <t>06</t>
  </si>
  <si>
    <t>MORTG GRNTY</t>
  </si>
  <si>
    <t>08</t>
  </si>
  <si>
    <t>OCEAN MRN</t>
  </si>
  <si>
    <t>from AM Best's - Total US PC Industry</t>
  </si>
  <si>
    <t>FIN GRNTY</t>
  </si>
  <si>
    <t>2020 EP</t>
  </si>
  <si>
    <t>2020 UEP</t>
  </si>
  <si>
    <t>2019 UEP</t>
  </si>
  <si>
    <t xml:space="preserve">  MED PROF LIAB (OCC)</t>
  </si>
  <si>
    <t xml:space="preserve">  MED PROF LIAB (CM)</t>
  </si>
  <si>
    <t>GROUP A&amp;H</t>
  </si>
  <si>
    <t>CR A&amp;H</t>
  </si>
  <si>
    <t>RENEWBL A&amp;H</t>
  </si>
  <si>
    <t>NON-CNCL A&amp;H</t>
  </si>
  <si>
    <t>GRNT RNW A&amp;H</t>
  </si>
  <si>
    <t>NON-RNW RSN</t>
  </si>
  <si>
    <t>OTHR ACC</t>
  </si>
  <si>
    <t>MEDICARE T18</t>
  </si>
  <si>
    <t>ALL OTHR A&amp;H</t>
  </si>
  <si>
    <t>FD EMP H BFT</t>
  </si>
  <si>
    <t>WORKERS' COMP</t>
  </si>
  <si>
    <t xml:space="preserve">  OTHER LIAB (OCC)</t>
  </si>
  <si>
    <t xml:space="preserve">  OTHER LIAB (CM)</t>
  </si>
  <si>
    <t>EXCESS WC</t>
  </si>
  <si>
    <t xml:space="preserve">  PROD LIAB (OCC)</t>
  </si>
  <si>
    <t xml:space="preserve">  PROD LIAB (CM)</t>
  </si>
  <si>
    <t>PPA NO-FAULT</t>
  </si>
  <si>
    <t>CMLA NO-FLT</t>
  </si>
  <si>
    <t>Data source:</t>
  </si>
  <si>
    <t>[1]  Annual Stm - All Insurers</t>
  </si>
  <si>
    <t>[2]  AM Best's Aggregates &amp; Averages - P&amp;C</t>
  </si>
  <si>
    <t xml:space="preserve">       Underwriting &amp; Investment Exhibit</t>
  </si>
  <si>
    <t xml:space="preserve">       Part 1 - Premiums Earned</t>
  </si>
  <si>
    <t>INT'L</t>
  </si>
  <si>
    <t>TOTALS</t>
  </si>
  <si>
    <t>TOTAL PROP 103</t>
  </si>
  <si>
    <t>2020 vs 2019 UNEARNED PREMIUM RESERVE RATIO BY LINE</t>
  </si>
  <si>
    <t>2019 UEP RSV</t>
  </si>
  <si>
    <t>2020 UEP RSV</t>
  </si>
  <si>
    <t>Comparison of
 2020 vs 2019</t>
  </si>
  <si>
    <t>[ 1 ]</t>
  </si>
  <si>
    <t>[ 2 ]</t>
  </si>
  <si>
    <t>[ 3 ] = [ 2 ] - [ 1 ]</t>
  </si>
  <si>
    <t>WORKERS'COMP</t>
  </si>
  <si>
    <t>CML A NO-FLT</t>
  </si>
  <si>
    <t>2020 SUMMARY BY-LINE</t>
  </si>
  <si>
    <t>Unearned Premium Reserve Ratio and Loss Reserve Ratio</t>
  </si>
  <si>
    <t>Unearned Premium</t>
  </si>
  <si>
    <t>Loss Reserve</t>
  </si>
  <si>
    <t>Reserve Ratio</t>
  </si>
  <si>
    <t xml:space="preserve">  CMP (N-LIAB)</t>
  </si>
  <si>
    <t xml:space="preserve">  CMP (LIAB)</t>
  </si>
  <si>
    <t>*            The Loss Reserve Ratio for Earthquake = 1.00.</t>
  </si>
  <si>
    <t>**          The Loss Reserve Ratio for Burglary and Theft is the dollar-weighted average of the Loss Reserve Ratios</t>
  </si>
  <si>
    <t xml:space="preserve">              for Fire, Allied Lines and Inland Marine.</t>
  </si>
  <si>
    <t>***        These Loss Reserve Ratios are based on a 3-year weighted average due to anomalies in the data.</t>
  </si>
  <si>
    <t>****      These Loss Reserve Ratios are based on a 4-year weighted average due to anomalies in the data.</t>
  </si>
  <si>
    <t>*****    These Loss Reserve Ratios are based on a 5-year weighted average due to anomalies in the data.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</si>
</sst>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?0.?"/>
    <numFmt numFmtId="166" formatCode="_(* #,##0.0000_);_(* \(#,##0.0000\);_(* &quot;-&quot;??_);_(@_)"/>
    <numFmt numFmtId="167" formatCode="_(* #,##0.000_);_(* \(#,##0.000\);_(* &quot;-&quot;??_);_(@_)"/>
    <numFmt numFmtId="168" formatCode="0.0%"/>
    <numFmt numFmtId="169" formatCode="&quot;[&quot;0&quot;]&quot;"/>
    <numFmt numFmtId="170" formatCode="?0.0"/>
    <numFmt numFmtId="171" formatCode="??,???,???,??0"/>
    <numFmt numFmtId="172" formatCode="_(* #,##0.0_);_(* \(#,##0.0\);_(* &quot;-&quot;??_);_(@_)"/>
    <numFmt numFmtId="173" formatCode="0.000"/>
    <numFmt numFmtId="174" formatCode="0.0000"/>
  </numFmts>
  <fonts count="103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48"/>
      <name val="Times New Roman"/>
      <family val="1"/>
    </font>
    <font>
      <sz val="8"/>
      <color indexed="8"/>
      <name val="Tahoma"/>
      <family val="2"/>
    </font>
    <font>
      <sz val="8"/>
      <color indexed="61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9"/>
      <color indexed="48"/>
      <name val="Tahoma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8"/>
      <color indexed="61"/>
      <name val="Tahoma"/>
      <family val="2"/>
    </font>
    <font>
      <i/>
      <sz val="8"/>
      <name val="Tahoma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1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30"/>
      <name val="Tahoma"/>
      <family val="2"/>
    </font>
    <font>
      <b/>
      <sz val="10"/>
      <color indexed="30"/>
      <name val="Tahoma"/>
      <family val="2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0070C0"/>
      <name val="Tahoma"/>
      <family val="2"/>
    </font>
    <font>
      <b/>
      <sz val="10"/>
      <color rgb="FF0070C0"/>
      <name val="Tahoma"/>
      <family val="2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5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7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6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1" xfId="42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0" fontId="5" fillId="0" borderId="11" xfId="69" applyNumberFormat="1" applyFont="1" applyFill="1" applyBorder="1" applyAlignment="1">
      <alignment horizontal="center"/>
    </xf>
    <xf numFmtId="10" fontId="5" fillId="0" borderId="12" xfId="69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0" xfId="69" applyNumberFormat="1" applyFont="1" applyBorder="1" applyAlignment="1">
      <alignment horizontal="center"/>
    </xf>
    <xf numFmtId="10" fontId="4" fillId="0" borderId="14" xfId="69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0" fontId="5" fillId="0" borderId="0" xfId="69" applyNumberFormat="1" applyFont="1" applyBorder="1" applyAlignment="1">
      <alignment horizontal="center"/>
    </xf>
    <xf numFmtId="10" fontId="5" fillId="0" borderId="14" xfId="69" applyNumberFormat="1" applyFont="1" applyBorder="1" applyAlignment="1">
      <alignment horizontal="center"/>
    </xf>
    <xf numFmtId="164" fontId="5" fillId="0" borderId="0" xfId="42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9" fontId="8" fillId="0" borderId="0" xfId="69" applyFont="1" applyBorder="1" applyAlignment="1">
      <alignment horizontal="center"/>
    </xf>
    <xf numFmtId="0" fontId="10" fillId="0" borderId="0" xfId="0" applyFont="1" applyBorder="1" applyAlignment="1">
      <alignment/>
    </xf>
    <xf numFmtId="164" fontId="10" fillId="0" borderId="0" xfId="42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0" fontId="10" fillId="0" borderId="0" xfId="69" applyNumberFormat="1" applyFont="1" applyBorder="1" applyAlignment="1">
      <alignment horizontal="center" wrapText="1"/>
    </xf>
    <xf numFmtId="10" fontId="10" fillId="0" borderId="14" xfId="69" applyNumberFormat="1" applyFont="1" applyBorder="1" applyAlignment="1">
      <alignment horizontal="center" wrapText="1"/>
    </xf>
    <xf numFmtId="164" fontId="5" fillId="0" borderId="0" xfId="42" applyNumberFormat="1" applyFont="1" applyBorder="1" applyAlignment="1">
      <alignment horizontal="center" wrapText="1"/>
    </xf>
    <xf numFmtId="9" fontId="5" fillId="0" borderId="14" xfId="69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3" borderId="15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8" xfId="42" applyNumberFormat="1" applyFont="1" applyFill="1" applyBorder="1" applyAlignment="1">
      <alignment horizontal="center" wrapText="1"/>
    </xf>
    <xf numFmtId="164" fontId="4" fillId="0" borderId="18" xfId="42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10" fontId="11" fillId="0" borderId="18" xfId="69" applyNumberFormat="1" applyFont="1" applyFill="1" applyBorder="1" applyAlignment="1">
      <alignment horizontal="center" wrapText="1"/>
    </xf>
    <xf numFmtId="10" fontId="4" fillId="0" borderId="19" xfId="69" applyNumberFormat="1" applyFont="1" applyBorder="1" applyAlignment="1">
      <alignment horizontal="center" wrapText="1"/>
    </xf>
    <xf numFmtId="0" fontId="4" fillId="10" borderId="18" xfId="0" applyFont="1" applyFill="1" applyBorder="1" applyAlignment="1">
      <alignment horizontal="center" wrapText="1"/>
    </xf>
    <xf numFmtId="9" fontId="5" fillId="0" borderId="19" xfId="69" applyFont="1" applyBorder="1" applyAlignment="1">
      <alignment horizontal="center"/>
    </xf>
    <xf numFmtId="9" fontId="5" fillId="0" borderId="0" xfId="69" applyFont="1" applyBorder="1" applyAlignment="1">
      <alignment horizontal="center" wrapText="1"/>
    </xf>
    <xf numFmtId="0" fontId="9" fillId="33" borderId="20" xfId="0" applyFont="1" applyFill="1" applyBorder="1" applyAlignment="1">
      <alignment/>
    </xf>
    <xf numFmtId="0" fontId="12" fillId="33" borderId="21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wrapText="1"/>
    </xf>
    <xf numFmtId="0" fontId="9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/>
    </xf>
    <xf numFmtId="164" fontId="13" fillId="0" borderId="11" xfId="42" applyNumberFormat="1" applyFont="1" applyBorder="1" applyAlignment="1" quotePrefix="1">
      <alignment/>
    </xf>
    <xf numFmtId="164" fontId="13" fillId="0" borderId="0" xfId="42" applyNumberFormat="1" applyFont="1" applyAlignment="1" quotePrefix="1">
      <alignment/>
    </xf>
    <xf numFmtId="10" fontId="13" fillId="0" borderId="0" xfId="69" applyNumberFormat="1" applyFont="1" applyAlignment="1" quotePrefix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165" fontId="14" fillId="0" borderId="24" xfId="0" applyNumberFormat="1" applyFont="1" applyBorder="1" applyAlignment="1">
      <alignment horizontal="left" vertical="center"/>
    </xf>
    <xf numFmtId="165" fontId="14" fillId="0" borderId="25" xfId="0" applyNumberFormat="1" applyFont="1" applyBorder="1" applyAlignment="1">
      <alignment horizontal="left" vertical="center"/>
    </xf>
    <xf numFmtId="0" fontId="15" fillId="0" borderId="26" xfId="0" applyFont="1" applyFill="1" applyBorder="1" applyAlignment="1">
      <alignment wrapText="1"/>
    </xf>
    <xf numFmtId="164" fontId="14" fillId="0" borderId="26" xfId="0" applyNumberFormat="1" applyFont="1" applyFill="1" applyBorder="1" applyAlignment="1">
      <alignment horizontal="center" vertical="center"/>
    </xf>
    <xf numFmtId="164" fontId="14" fillId="0" borderId="26" xfId="42" applyNumberFormat="1" applyFont="1" applyFill="1" applyBorder="1" applyAlignment="1">
      <alignment/>
    </xf>
    <xf numFmtId="39" fontId="14" fillId="0" borderId="27" xfId="42" applyNumberFormat="1" applyFont="1" applyFill="1" applyBorder="1" applyAlignment="1">
      <alignment horizontal="center"/>
    </xf>
    <xf numFmtId="39" fontId="4" fillId="0" borderId="12" xfId="46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Alignment="1">
      <alignment/>
    </xf>
    <xf numFmtId="164" fontId="7" fillId="33" borderId="23" xfId="0" applyNumberFormat="1" applyFont="1" applyFill="1" applyBorder="1" applyAlignment="1">
      <alignment/>
    </xf>
    <xf numFmtId="165" fontId="14" fillId="0" borderId="28" xfId="0" applyNumberFormat="1" applyFont="1" applyFill="1" applyBorder="1" applyAlignment="1">
      <alignment horizontal="left" vertical="center"/>
    </xf>
    <xf numFmtId="165" fontId="14" fillId="0" borderId="29" xfId="0" applyNumberFormat="1" applyFont="1" applyFill="1" applyBorder="1" applyAlignment="1">
      <alignment horizontal="left" vertical="center"/>
    </xf>
    <xf numFmtId="0" fontId="15" fillId="0" borderId="30" xfId="0" applyFont="1" applyFill="1" applyBorder="1" applyAlignment="1">
      <alignment wrapText="1"/>
    </xf>
    <xf numFmtId="164" fontId="14" fillId="0" borderId="30" xfId="0" applyNumberFormat="1" applyFont="1" applyFill="1" applyBorder="1" applyAlignment="1">
      <alignment horizontal="center" vertical="center"/>
    </xf>
    <xf numFmtId="164" fontId="14" fillId="0" borderId="30" xfId="42" applyNumberFormat="1" applyFont="1" applyFill="1" applyBorder="1" applyAlignment="1">
      <alignment/>
    </xf>
    <xf numFmtId="39" fontId="14" fillId="0" borderId="31" xfId="42" applyNumberFormat="1" applyFont="1" applyFill="1" applyBorder="1" applyAlignment="1">
      <alignment horizontal="center"/>
    </xf>
    <xf numFmtId="39" fontId="4" fillId="0" borderId="32" xfId="46" applyNumberFormat="1" applyFont="1" applyFill="1" applyBorder="1" applyAlignment="1">
      <alignment horizontal="center"/>
    </xf>
    <xf numFmtId="164" fontId="14" fillId="0" borderId="0" xfId="0" applyNumberFormat="1" applyFont="1" applyFill="1" applyAlignment="1">
      <alignment/>
    </xf>
    <xf numFmtId="0" fontId="15" fillId="0" borderId="30" xfId="0" applyFont="1" applyFill="1" applyBorder="1" applyAlignment="1">
      <alignment horizontal="left" wrapText="1"/>
    </xf>
    <xf numFmtId="164" fontId="13" fillId="33" borderId="0" xfId="42" applyNumberFormat="1" applyFont="1" applyFill="1" applyAlignment="1">
      <alignment/>
    </xf>
    <xf numFmtId="164" fontId="13" fillId="7" borderId="0" xfId="42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39" fontId="10" fillId="0" borderId="31" xfId="42" applyNumberFormat="1" applyFont="1" applyFill="1" applyBorder="1" applyAlignment="1">
      <alignment horizontal="center"/>
    </xf>
    <xf numFmtId="39" fontId="4" fillId="0" borderId="14" xfId="46" applyNumberFormat="1" applyFont="1" applyFill="1" applyBorder="1" applyAlignment="1">
      <alignment horizontal="center"/>
    </xf>
    <xf numFmtId="164" fontId="13" fillId="0" borderId="0" xfId="42" applyNumberFormat="1" applyFont="1" applyFill="1" applyAlignment="1">
      <alignment/>
    </xf>
    <xf numFmtId="166" fontId="7" fillId="33" borderId="23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65" fontId="14" fillId="0" borderId="33" xfId="0" applyNumberFormat="1" applyFont="1" applyBorder="1" applyAlignment="1">
      <alignment horizontal="left" vertical="center"/>
    </xf>
    <xf numFmtId="165" fontId="14" fillId="0" borderId="34" xfId="0" applyNumberFormat="1" applyFont="1" applyBorder="1" applyAlignment="1">
      <alignment horizontal="left" vertical="center"/>
    </xf>
    <xf numFmtId="0" fontId="15" fillId="0" borderId="35" xfId="0" applyFont="1" applyFill="1" applyBorder="1" applyAlignment="1">
      <alignment wrapText="1"/>
    </xf>
    <xf numFmtId="164" fontId="14" fillId="0" borderId="36" xfId="0" applyNumberFormat="1" applyFont="1" applyFill="1" applyBorder="1" applyAlignment="1">
      <alignment horizontal="center" vertical="center"/>
    </xf>
    <xf numFmtId="164" fontId="14" fillId="0" borderId="35" xfId="42" applyNumberFormat="1" applyFont="1" applyFill="1" applyBorder="1" applyAlignment="1">
      <alignment/>
    </xf>
    <xf numFmtId="39" fontId="4" fillId="0" borderId="19" xfId="46" applyNumberFormat="1" applyFont="1" applyFill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15" fillId="0" borderId="18" xfId="0" applyFont="1" applyFill="1" applyBorder="1" applyAlignment="1">
      <alignment wrapText="1"/>
    </xf>
    <xf numFmtId="164" fontId="14" fillId="0" borderId="37" xfId="0" applyNumberFormat="1" applyFont="1" applyBorder="1" applyAlignment="1">
      <alignment horizontal="center" vertical="center"/>
    </xf>
    <xf numFmtId="164" fontId="14" fillId="0" borderId="37" xfId="42" applyNumberFormat="1" applyFont="1" applyFill="1" applyBorder="1" applyAlignment="1">
      <alignment/>
    </xf>
    <xf numFmtId="39" fontId="14" fillId="0" borderId="37" xfId="42" applyNumberFormat="1" applyFont="1" applyFill="1" applyBorder="1" applyAlignment="1">
      <alignment horizontal="center"/>
    </xf>
    <xf numFmtId="39" fontId="14" fillId="0" borderId="0" xfId="42" applyNumberFormat="1" applyFont="1" applyFill="1" applyBorder="1" applyAlignment="1">
      <alignment horizontal="center"/>
    </xf>
    <xf numFmtId="49" fontId="18" fillId="0" borderId="38" xfId="0" applyNumberFormat="1" applyFont="1" applyBorder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0" fontId="18" fillId="0" borderId="39" xfId="0" applyFont="1" applyFill="1" applyBorder="1" applyAlignment="1">
      <alignment vertical="center" wrapText="1"/>
    </xf>
    <xf numFmtId="164" fontId="19" fillId="0" borderId="40" xfId="0" applyNumberFormat="1" applyFont="1" applyBorder="1" applyAlignment="1">
      <alignment horizontal="center" vertical="center"/>
    </xf>
    <xf numFmtId="164" fontId="19" fillId="0" borderId="40" xfId="42" applyNumberFormat="1" applyFont="1" applyFill="1" applyBorder="1" applyAlignment="1">
      <alignment vertical="center"/>
    </xf>
    <xf numFmtId="39" fontId="19" fillId="0" borderId="41" xfId="42" applyNumberFormat="1" applyFont="1" applyFill="1" applyBorder="1" applyAlignment="1">
      <alignment horizontal="center" vertical="center"/>
    </xf>
    <xf numFmtId="39" fontId="19" fillId="0" borderId="42" xfId="42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13" fillId="0" borderId="0" xfId="42" applyNumberFormat="1" applyFont="1" applyAlignment="1">
      <alignment/>
    </xf>
    <xf numFmtId="164" fontId="20" fillId="0" borderId="0" xfId="42" applyNumberFormat="1" applyFont="1" applyFill="1" applyBorder="1" applyAlignment="1">
      <alignment horizontal="right" wrapText="1"/>
    </xf>
    <xf numFmtId="164" fontId="13" fillId="0" borderId="0" xfId="42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7" fontId="13" fillId="0" borderId="0" xfId="42" applyNumberFormat="1" applyFont="1" applyBorder="1" applyAlignment="1">
      <alignment/>
    </xf>
    <xf numFmtId="164" fontId="7" fillId="0" borderId="0" xfId="42" applyNumberFormat="1" applyFont="1" applyAlignment="1">
      <alignment/>
    </xf>
    <xf numFmtId="49" fontId="21" fillId="0" borderId="0" xfId="0" applyNumberFormat="1" applyFont="1" applyFill="1" applyBorder="1" applyAlignment="1">
      <alignment horizontal="left"/>
    </xf>
    <xf numFmtId="168" fontId="21" fillId="0" borderId="0" xfId="0" applyNumberFormat="1" applyFont="1" applyAlignment="1">
      <alignment horizontal="left"/>
    </xf>
    <xf numFmtId="164" fontId="21" fillId="0" borderId="0" xfId="42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3" fillId="0" borderId="0" xfId="0" applyFont="1" applyBorder="1" applyAlignment="1">
      <alignment/>
    </xf>
    <xf numFmtId="10" fontId="13" fillId="0" borderId="0" xfId="69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0" fontId="7" fillId="0" borderId="0" xfId="69" applyNumberFormat="1" applyFont="1" applyAlignment="1">
      <alignment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9" fontId="13" fillId="0" borderId="10" xfId="0" applyNumberFormat="1" applyFont="1" applyBorder="1" applyAlignment="1">
      <alignment vertical="center"/>
    </xf>
    <xf numFmtId="169" fontId="13" fillId="0" borderId="11" xfId="0" applyNumberFormat="1" applyFont="1" applyBorder="1" applyAlignment="1">
      <alignment vertical="center"/>
    </xf>
    <xf numFmtId="169" fontId="13" fillId="0" borderId="11" xfId="0" applyNumberFormat="1" applyFont="1" applyBorder="1" applyAlignment="1">
      <alignment horizontal="center" vertical="center"/>
    </xf>
    <xf numFmtId="169" fontId="13" fillId="0" borderId="12" xfId="0" applyNumberFormat="1" applyFont="1" applyBorder="1" applyAlignment="1">
      <alignment horizontal="center" vertical="center"/>
    </xf>
    <xf numFmtId="169" fontId="12" fillId="0" borderId="0" xfId="0" applyNumberFormat="1" applyFont="1" applyAlignment="1">
      <alignment vertical="center"/>
    </xf>
    <xf numFmtId="170" fontId="24" fillId="0" borderId="13" xfId="0" applyNumberFormat="1" applyFont="1" applyBorder="1" applyAlignment="1">
      <alignment vertical="center"/>
    </xf>
    <xf numFmtId="170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70" fontId="13" fillId="0" borderId="17" xfId="0" applyNumberFormat="1" applyFont="1" applyBorder="1" applyAlignment="1">
      <alignment vertical="center"/>
    </xf>
    <xf numFmtId="170" fontId="13" fillId="0" borderId="18" xfId="0" applyNumberFormat="1" applyFont="1" applyBorder="1" applyAlignment="1">
      <alignment vertical="center"/>
    </xf>
    <xf numFmtId="0" fontId="13" fillId="0" borderId="18" xfId="0" applyFont="1" applyBorder="1" applyAlignment="1" quotePrefix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4" fillId="0" borderId="0" xfId="0" applyFont="1" applyBorder="1" applyAlignment="1" quotePrefix="1">
      <alignment vertical="center"/>
    </xf>
    <xf numFmtId="0" fontId="24" fillId="0" borderId="0" xfId="0" applyFont="1" applyFill="1" applyBorder="1" applyAlignment="1">
      <alignment horizontal="center" vertical="center"/>
    </xf>
    <xf numFmtId="165" fontId="14" fillId="0" borderId="43" xfId="0" applyNumberFormat="1" applyFont="1" applyBorder="1" applyAlignment="1">
      <alignment horizontal="left" vertical="center"/>
    </xf>
    <xf numFmtId="165" fontId="14" fillId="0" borderId="44" xfId="0" applyNumberFormat="1" applyFont="1" applyBorder="1" applyAlignment="1">
      <alignment horizontal="left" vertical="center"/>
    </xf>
    <xf numFmtId="0" fontId="17" fillId="0" borderId="26" xfId="0" applyFont="1" applyFill="1" applyBorder="1" applyAlignment="1">
      <alignment vertical="center" wrapText="1"/>
    </xf>
    <xf numFmtId="3" fontId="14" fillId="0" borderId="26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 horizontal="right"/>
    </xf>
    <xf numFmtId="171" fontId="14" fillId="0" borderId="26" xfId="0" applyNumberFormat="1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165" fontId="14" fillId="0" borderId="46" xfId="0" applyNumberFormat="1" applyFont="1" applyBorder="1" applyAlignment="1">
      <alignment horizontal="left" vertical="center"/>
    </xf>
    <xf numFmtId="165" fontId="14" fillId="0" borderId="47" xfId="0" applyNumberFormat="1" applyFont="1" applyBorder="1" applyAlignment="1">
      <alignment horizontal="left" vertical="center"/>
    </xf>
    <xf numFmtId="0" fontId="17" fillId="0" borderId="30" xfId="0" applyFont="1" applyFill="1" applyBorder="1" applyAlignment="1">
      <alignment vertical="center" wrapText="1"/>
    </xf>
    <xf numFmtId="3" fontId="14" fillId="0" borderId="30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 horizontal="right"/>
    </xf>
    <xf numFmtId="171" fontId="14" fillId="0" borderId="30" xfId="0" applyNumberFormat="1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17" fillId="0" borderId="30" xfId="0" applyFont="1" applyFill="1" applyBorder="1" applyAlignment="1">
      <alignment horizontal="left" vertical="center" wrapText="1"/>
    </xf>
    <xf numFmtId="171" fontId="14" fillId="0" borderId="30" xfId="42" applyNumberFormat="1" applyFont="1" applyFill="1" applyBorder="1" applyAlignment="1">
      <alignment horizontal="right" vertical="center"/>
    </xf>
    <xf numFmtId="171" fontId="14" fillId="0" borderId="30" xfId="42" applyNumberFormat="1" applyFont="1" applyFill="1" applyBorder="1" applyAlignment="1">
      <alignment horizontal="center" vertical="center"/>
    </xf>
    <xf numFmtId="43" fontId="14" fillId="0" borderId="48" xfId="42" applyNumberFormat="1" applyFont="1" applyFill="1" applyBorder="1" applyAlignment="1">
      <alignment horizontal="center" vertical="center"/>
    </xf>
    <xf numFmtId="171" fontId="14" fillId="0" borderId="30" xfId="0" applyNumberFormat="1" applyFont="1" applyFill="1" applyBorder="1" applyAlignment="1">
      <alignment horizontal="center" vertical="center"/>
    </xf>
    <xf numFmtId="43" fontId="14" fillId="0" borderId="48" xfId="0" applyNumberFormat="1" applyFont="1" applyFill="1" applyBorder="1" applyAlignment="1">
      <alignment horizontal="center" vertical="center"/>
    </xf>
    <xf numFmtId="171" fontId="14" fillId="0" borderId="30" xfId="42" applyNumberFormat="1" applyFont="1" applyFill="1" applyBorder="1" applyAlignment="1">
      <alignment vertical="center"/>
    </xf>
    <xf numFmtId="43" fontId="14" fillId="0" borderId="48" xfId="0" applyNumberFormat="1" applyFont="1" applyFill="1" applyBorder="1" applyAlignment="1">
      <alignment vertical="center"/>
    </xf>
    <xf numFmtId="172" fontId="14" fillId="0" borderId="48" xfId="0" applyNumberFormat="1" applyFont="1" applyFill="1" applyBorder="1" applyAlignment="1">
      <alignment vertical="center"/>
    </xf>
    <xf numFmtId="171" fontId="14" fillId="0" borderId="30" xfId="0" applyNumberFormat="1" applyFont="1" applyFill="1" applyBorder="1" applyAlignment="1">
      <alignment horizontal="right" vertical="center"/>
    </xf>
    <xf numFmtId="1" fontId="14" fillId="0" borderId="46" xfId="0" applyNumberFormat="1" applyFont="1" applyBorder="1" applyAlignment="1">
      <alignment horizontal="left" vertical="center"/>
    </xf>
    <xf numFmtId="165" fontId="14" fillId="0" borderId="49" xfId="0" applyNumberFormat="1" applyFont="1" applyBorder="1" applyAlignment="1">
      <alignment horizontal="left" vertical="center"/>
    </xf>
    <xf numFmtId="165" fontId="14" fillId="0" borderId="50" xfId="0" applyNumberFormat="1" applyFont="1" applyBorder="1" applyAlignment="1">
      <alignment horizontal="left" vertical="center"/>
    </xf>
    <xf numFmtId="0" fontId="17" fillId="0" borderId="35" xfId="0" applyFont="1" applyFill="1" applyBorder="1" applyAlignment="1">
      <alignment vertical="center" wrapText="1"/>
    </xf>
    <xf numFmtId="3" fontId="14" fillId="0" borderId="35" xfId="0" applyNumberFormat="1" applyFont="1" applyFill="1" applyBorder="1" applyAlignment="1">
      <alignment/>
    </xf>
    <xf numFmtId="3" fontId="14" fillId="0" borderId="35" xfId="0" applyNumberFormat="1" applyFont="1" applyFill="1" applyBorder="1" applyAlignment="1">
      <alignment horizontal="right"/>
    </xf>
    <xf numFmtId="171" fontId="14" fillId="0" borderId="35" xfId="0" applyNumberFormat="1" applyFont="1" applyFill="1" applyBorder="1" applyAlignment="1">
      <alignment vertical="center"/>
    </xf>
    <xf numFmtId="0" fontId="14" fillId="0" borderId="51" xfId="0" applyFont="1" applyFill="1" applyBorder="1" applyAlignment="1">
      <alignment vertical="center"/>
    </xf>
    <xf numFmtId="165" fontId="23" fillId="0" borderId="18" xfId="0" applyNumberFormat="1" applyFont="1" applyBorder="1" applyAlignment="1">
      <alignment horizontal="center" vertical="center"/>
    </xf>
    <xf numFmtId="0" fontId="25" fillId="0" borderId="18" xfId="0" applyFont="1" applyFill="1" applyBorder="1" applyAlignment="1">
      <alignment vertical="center" wrapText="1"/>
    </xf>
    <xf numFmtId="171" fontId="0" fillId="0" borderId="18" xfId="0" applyNumberFormat="1" applyFont="1" applyBorder="1" applyAlignment="1">
      <alignment horizontal="center" vertical="center"/>
    </xf>
    <xf numFmtId="171" fontId="0" fillId="0" borderId="18" xfId="42" applyNumberFormat="1" applyFont="1" applyFill="1" applyBorder="1" applyAlignment="1">
      <alignment horizontal="center" vertical="center"/>
    </xf>
    <xf numFmtId="171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0" fontId="26" fillId="0" borderId="52" xfId="0" applyNumberFormat="1" applyFont="1" applyBorder="1" applyAlignment="1">
      <alignment horizontal="center" vertical="center"/>
    </xf>
    <xf numFmtId="170" fontId="26" fillId="0" borderId="37" xfId="0" applyNumberFormat="1" applyFont="1" applyBorder="1" applyAlignment="1">
      <alignment horizontal="center" vertical="center"/>
    </xf>
    <xf numFmtId="0" fontId="26" fillId="0" borderId="39" xfId="0" applyFont="1" applyFill="1" applyBorder="1" applyAlignment="1">
      <alignment vertical="center" wrapText="1"/>
    </xf>
    <xf numFmtId="171" fontId="27" fillId="0" borderId="40" xfId="42" applyNumberFormat="1" applyFont="1" applyFill="1" applyBorder="1" applyAlignment="1">
      <alignment horizontal="center" vertical="center"/>
    </xf>
    <xf numFmtId="171" fontId="27" fillId="0" borderId="40" xfId="0" applyNumberFormat="1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170" fontId="23" fillId="0" borderId="0" xfId="0" applyNumberFormat="1" applyFont="1" applyAlignment="1">
      <alignment vertical="center"/>
    </xf>
    <xf numFmtId="170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70" fontId="0" fillId="0" borderId="0" xfId="0" applyNumberFormat="1" applyAlignment="1">
      <alignment vertical="center"/>
    </xf>
    <xf numFmtId="170" fontId="0" fillId="0" borderId="0" xfId="0" applyNumberFormat="1" applyBorder="1" applyAlignment="1">
      <alignment vertical="center"/>
    </xf>
    <xf numFmtId="0" fontId="24" fillId="0" borderId="0" xfId="0" applyFont="1" applyFill="1" applyBorder="1" applyAlignment="1" quotePrefix="1">
      <alignment vertical="center"/>
    </xf>
    <xf numFmtId="171" fontId="23" fillId="0" borderId="0" xfId="0" applyNumberFormat="1" applyFont="1" applyAlignment="1">
      <alignment vertical="center"/>
    </xf>
    <xf numFmtId="0" fontId="3" fillId="0" borderId="0" xfId="63" applyFont="1">
      <alignment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/>
      <protection/>
    </xf>
    <xf numFmtId="0" fontId="29" fillId="0" borderId="11" xfId="63" applyFont="1" applyBorder="1" applyAlignment="1">
      <alignment horizontal="center"/>
      <protection/>
    </xf>
    <xf numFmtId="10" fontId="29" fillId="0" borderId="11" xfId="70" applyNumberFormat="1" applyFont="1" applyBorder="1" applyAlignment="1">
      <alignment horizontal="center"/>
    </xf>
    <xf numFmtId="10" fontId="29" fillId="0" borderId="12" xfId="70" applyNumberFormat="1" applyFont="1" applyBorder="1" applyAlignment="1">
      <alignment horizontal="center"/>
    </xf>
    <xf numFmtId="0" fontId="7" fillId="0" borderId="0" xfId="63" applyFont="1">
      <alignment/>
      <protection/>
    </xf>
    <xf numFmtId="0" fontId="29" fillId="0" borderId="13" xfId="63" applyFont="1" applyBorder="1">
      <alignment/>
      <protection/>
    </xf>
    <xf numFmtId="0" fontId="24" fillId="0" borderId="0" xfId="63" applyFont="1" applyBorder="1" applyAlignment="1">
      <alignment/>
      <protection/>
    </xf>
    <xf numFmtId="0" fontId="24" fillId="0" borderId="0" xfId="63" applyFont="1" applyBorder="1" applyAlignment="1">
      <alignment horizontal="center"/>
      <protection/>
    </xf>
    <xf numFmtId="1" fontId="24" fillId="0" borderId="0" xfId="70" applyNumberFormat="1" applyFont="1" applyBorder="1" applyAlignment="1">
      <alignment horizontal="center"/>
    </xf>
    <xf numFmtId="0" fontId="29" fillId="0" borderId="14" xfId="63" applyFont="1" applyBorder="1">
      <alignment/>
      <protection/>
    </xf>
    <xf numFmtId="0" fontId="9" fillId="0" borderId="0" xfId="63" applyFont="1">
      <alignment/>
      <protection/>
    </xf>
    <xf numFmtId="1" fontId="30" fillId="0" borderId="0" xfId="70" applyNumberFormat="1" applyFont="1" applyBorder="1" applyAlignment="1">
      <alignment horizontal="center"/>
    </xf>
    <xf numFmtId="10" fontId="30" fillId="0" borderId="14" xfId="70" applyNumberFormat="1" applyFont="1" applyBorder="1" applyAlignment="1">
      <alignment horizontal="center" wrapText="1"/>
    </xf>
    <xf numFmtId="1" fontId="31" fillId="0" borderId="0" xfId="70" applyNumberFormat="1" applyFont="1" applyBorder="1" applyAlignment="1">
      <alignment horizontal="center" wrapText="1"/>
    </xf>
    <xf numFmtId="10" fontId="30" fillId="0" borderId="14" xfId="70" applyNumberFormat="1" applyFont="1" applyBorder="1" applyAlignment="1">
      <alignment horizontal="center" vertical="center" wrapText="1"/>
    </xf>
    <xf numFmtId="0" fontId="94" fillId="0" borderId="0" xfId="63" applyFont="1" applyAlignment="1">
      <alignment horizontal="center"/>
      <protection/>
    </xf>
    <xf numFmtId="0" fontId="29" fillId="0" borderId="17" xfId="63" applyFont="1" applyBorder="1">
      <alignment/>
      <protection/>
    </xf>
    <xf numFmtId="0" fontId="29" fillId="0" borderId="18" xfId="63" applyFont="1" applyBorder="1" applyAlignment="1">
      <alignment/>
      <protection/>
    </xf>
    <xf numFmtId="1" fontId="30" fillId="0" borderId="18" xfId="70" applyNumberFormat="1" applyFont="1" applyBorder="1" applyAlignment="1">
      <alignment horizontal="center"/>
    </xf>
    <xf numFmtId="1" fontId="30" fillId="0" borderId="18" xfId="70" applyNumberFormat="1" applyFont="1" applyBorder="1" applyAlignment="1">
      <alignment/>
    </xf>
    <xf numFmtId="0" fontId="30" fillId="0" borderId="19" xfId="63" applyFont="1" applyBorder="1" applyAlignment="1">
      <alignment horizontal="center"/>
      <protection/>
    </xf>
    <xf numFmtId="0" fontId="94" fillId="0" borderId="0" xfId="63" applyFont="1">
      <alignment/>
      <protection/>
    </xf>
    <xf numFmtId="0" fontId="28" fillId="0" borderId="0" xfId="63" applyFont="1">
      <alignment/>
      <protection/>
    </xf>
    <xf numFmtId="0" fontId="28" fillId="0" borderId="0" xfId="63" applyFont="1" applyAlignment="1" quotePrefix="1">
      <alignment/>
      <protection/>
    </xf>
    <xf numFmtId="10" fontId="28" fillId="0" borderId="0" xfId="70" applyNumberFormat="1" applyFont="1" applyAlignment="1" quotePrefix="1">
      <alignment horizontal="right"/>
    </xf>
    <xf numFmtId="10" fontId="28" fillId="0" borderId="0" xfId="70" applyNumberFormat="1" applyFont="1" applyAlignment="1" quotePrefix="1">
      <alignment/>
    </xf>
    <xf numFmtId="10" fontId="28" fillId="0" borderId="0" xfId="70" applyNumberFormat="1" applyFont="1" applyAlignment="1" quotePrefix="1">
      <alignment horizontal="center"/>
    </xf>
    <xf numFmtId="49" fontId="23" fillId="0" borderId="43" xfId="63" applyNumberFormat="1" applyFont="1" applyBorder="1" applyAlignment="1">
      <alignment horizontal="left"/>
      <protection/>
    </xf>
    <xf numFmtId="0" fontId="25" fillId="0" borderId="26" xfId="63" applyFont="1" applyFill="1" applyBorder="1" applyAlignment="1">
      <alignment wrapText="1"/>
      <protection/>
    </xf>
    <xf numFmtId="39" fontId="23" fillId="0" borderId="54" xfId="46" applyNumberFormat="1" applyFont="1" applyFill="1" applyBorder="1" applyAlignment="1">
      <alignment horizontal="center"/>
    </xf>
    <xf numFmtId="39" fontId="23" fillId="0" borderId="55" xfId="46" applyNumberFormat="1" applyFont="1" applyFill="1" applyBorder="1" applyAlignment="1">
      <alignment horizontal="left"/>
    </xf>
    <xf numFmtId="4" fontId="23" fillId="0" borderId="56" xfId="46" applyNumberFormat="1" applyFont="1" applyFill="1" applyBorder="1" applyAlignment="1">
      <alignment horizontal="center"/>
    </xf>
    <xf numFmtId="10" fontId="7" fillId="0" borderId="0" xfId="70" applyNumberFormat="1" applyFont="1" applyAlignment="1">
      <alignment/>
    </xf>
    <xf numFmtId="49" fontId="23" fillId="0" borderId="46" xfId="63" applyNumberFormat="1" applyFont="1" applyBorder="1" applyAlignment="1">
      <alignment horizontal="left"/>
      <protection/>
    </xf>
    <xf numFmtId="0" fontId="25" fillId="0" borderId="30" xfId="63" applyFont="1" applyFill="1" applyBorder="1" applyAlignment="1">
      <alignment wrapText="1"/>
      <protection/>
    </xf>
    <xf numFmtId="39" fontId="23" fillId="0" borderId="30" xfId="46" applyNumberFormat="1" applyFont="1" applyFill="1" applyBorder="1" applyAlignment="1">
      <alignment horizontal="center"/>
    </xf>
    <xf numFmtId="39" fontId="23" fillId="0" borderId="29" xfId="46" applyNumberFormat="1" applyFont="1" applyFill="1" applyBorder="1" applyAlignment="1">
      <alignment horizontal="left"/>
    </xf>
    <xf numFmtId="4" fontId="23" fillId="0" borderId="48" xfId="46" applyNumberFormat="1" applyFont="1" applyFill="1" applyBorder="1" applyAlignment="1">
      <alignment horizontal="center"/>
    </xf>
    <xf numFmtId="39" fontId="23" fillId="0" borderId="31" xfId="46" applyNumberFormat="1" applyFont="1" applyFill="1" applyBorder="1" applyAlignment="1">
      <alignment horizontal="left"/>
    </xf>
    <xf numFmtId="49" fontId="23" fillId="0" borderId="57" xfId="63" applyNumberFormat="1" applyFont="1" applyBorder="1" applyAlignment="1">
      <alignment horizontal="left"/>
      <protection/>
    </xf>
    <xf numFmtId="0" fontId="25" fillId="0" borderId="36" xfId="63" applyFont="1" applyFill="1" applyBorder="1" applyAlignment="1">
      <alignment wrapText="1"/>
      <protection/>
    </xf>
    <xf numFmtId="4" fontId="23" fillId="0" borderId="58" xfId="46" applyNumberFormat="1" applyFont="1" applyFill="1" applyBorder="1" applyAlignment="1">
      <alignment horizontal="center"/>
    </xf>
    <xf numFmtId="49" fontId="13" fillId="0" borderId="37" xfId="63" applyNumberFormat="1" applyFont="1" applyBorder="1" applyAlignment="1">
      <alignment horizontal="left"/>
      <protection/>
    </xf>
    <xf numFmtId="0" fontId="20" fillId="0" borderId="37" xfId="63" applyFont="1" applyFill="1" applyBorder="1" applyAlignment="1">
      <alignment wrapText="1"/>
      <protection/>
    </xf>
    <xf numFmtId="39" fontId="23" fillId="0" borderId="37" xfId="46" applyNumberFormat="1" applyFont="1" applyFill="1" applyBorder="1" applyAlignment="1">
      <alignment horizontal="center"/>
    </xf>
    <xf numFmtId="4" fontId="23" fillId="0" borderId="37" xfId="46" applyNumberFormat="1" applyFont="1" applyFill="1" applyBorder="1" applyAlignment="1">
      <alignment horizontal="center"/>
    </xf>
    <xf numFmtId="49" fontId="32" fillId="0" borderId="38" xfId="63" applyNumberFormat="1" applyFont="1" applyBorder="1" applyAlignment="1">
      <alignment horizontal="center"/>
      <protection/>
    </xf>
    <xf numFmtId="0" fontId="95" fillId="0" borderId="37" xfId="63" applyFont="1" applyFill="1" applyBorder="1" applyAlignment="1">
      <alignment wrapText="1"/>
      <protection/>
    </xf>
    <xf numFmtId="39" fontId="96" fillId="0" borderId="37" xfId="46" applyNumberFormat="1" applyFont="1" applyFill="1" applyBorder="1" applyAlignment="1">
      <alignment horizontal="center"/>
    </xf>
    <xf numFmtId="4" fontId="96" fillId="0" borderId="42" xfId="46" applyNumberFormat="1" applyFont="1" applyFill="1" applyBorder="1" applyAlignment="1">
      <alignment horizontal="center"/>
    </xf>
    <xf numFmtId="49" fontId="33" fillId="0" borderId="0" xfId="63" applyNumberFormat="1" applyFont="1" applyBorder="1" applyAlignment="1">
      <alignment horizontal="center"/>
      <protection/>
    </xf>
    <xf numFmtId="0" fontId="34" fillId="0" borderId="0" xfId="63" applyFont="1" applyFill="1" applyBorder="1" applyAlignment="1">
      <alignment wrapText="1"/>
      <protection/>
    </xf>
    <xf numFmtId="39" fontId="14" fillId="0" borderId="0" xfId="46" applyNumberFormat="1" applyFont="1" applyFill="1" applyBorder="1" applyAlignment="1">
      <alignment horizontal="center"/>
    </xf>
    <xf numFmtId="49" fontId="35" fillId="0" borderId="0" xfId="63" applyNumberFormat="1" applyFont="1" applyFill="1" applyBorder="1" applyAlignment="1">
      <alignment horizontal="left"/>
      <protection/>
    </xf>
    <xf numFmtId="49" fontId="21" fillId="0" borderId="0" xfId="63" applyNumberFormat="1" applyFont="1" applyFill="1" applyBorder="1" applyAlignment="1">
      <alignment/>
      <protection/>
    </xf>
    <xf numFmtId="168" fontId="35" fillId="0" borderId="0" xfId="63" applyNumberFormat="1" applyFont="1" applyAlignment="1">
      <alignment horizontal="left"/>
      <protection/>
    </xf>
    <xf numFmtId="0" fontId="36" fillId="0" borderId="0" xfId="63" applyFont="1">
      <alignment/>
      <protection/>
    </xf>
    <xf numFmtId="0" fontId="35" fillId="0" borderId="0" xfId="63" applyFont="1">
      <alignment/>
      <protection/>
    </xf>
    <xf numFmtId="49" fontId="37" fillId="0" borderId="0" xfId="63" applyNumberFormat="1" applyFont="1" applyFill="1" applyBorder="1">
      <alignment/>
      <protection/>
    </xf>
    <xf numFmtId="39" fontId="37" fillId="0" borderId="0" xfId="46" applyNumberFormat="1" applyFont="1" applyFill="1" applyBorder="1" applyAlignment="1">
      <alignment horizontal="center"/>
    </xf>
    <xf numFmtId="0" fontId="7" fillId="0" borderId="0" xfId="63" applyFont="1" applyAlignment="1">
      <alignment/>
      <protection/>
    </xf>
    <xf numFmtId="0" fontId="38" fillId="0" borderId="0" xfId="61" applyFont="1" applyBorder="1" applyAlignment="1">
      <alignment horizontal="center"/>
      <protection/>
    </xf>
    <xf numFmtId="0" fontId="97" fillId="0" borderId="0" xfId="61" applyFont="1" applyBorder="1" applyAlignment="1">
      <alignment horizontal="center"/>
      <protection/>
    </xf>
    <xf numFmtId="0" fontId="14" fillId="0" borderId="0" xfId="61" applyFont="1">
      <alignment/>
      <protection/>
    </xf>
    <xf numFmtId="0" fontId="39" fillId="0" borderId="0" xfId="61" applyFont="1">
      <alignment/>
      <protection/>
    </xf>
    <xf numFmtId="0" fontId="40" fillId="0" borderId="0" xfId="61" applyFont="1" applyBorder="1" applyAlignment="1">
      <alignment horizontal="center" vertical="top"/>
      <protection/>
    </xf>
    <xf numFmtId="0" fontId="97" fillId="0" borderId="0" xfId="61" applyFont="1" applyBorder="1" applyAlignment="1">
      <alignment horizontal="center" vertical="top"/>
      <protection/>
    </xf>
    <xf numFmtId="42" fontId="97" fillId="0" borderId="0" xfId="61" applyNumberFormat="1" applyFont="1" applyBorder="1" applyAlignment="1">
      <alignment horizontal="center"/>
      <protection/>
    </xf>
    <xf numFmtId="0" fontId="41" fillId="0" borderId="59" xfId="61" applyFont="1" applyBorder="1" applyAlignment="1">
      <alignment horizontal="center"/>
      <protection/>
    </xf>
    <xf numFmtId="0" fontId="41" fillId="0" borderId="59" xfId="61" applyFont="1" applyBorder="1">
      <alignment/>
      <protection/>
    </xf>
    <xf numFmtId="42" fontId="41" fillId="0" borderId="59" xfId="61" applyNumberFormat="1" applyFont="1" applyBorder="1" applyAlignment="1">
      <alignment horizontal="center"/>
      <protection/>
    </xf>
    <xf numFmtId="6" fontId="41" fillId="0" borderId="59" xfId="61" applyNumberFormat="1" applyFont="1" applyBorder="1" applyAlignment="1">
      <alignment horizontal="center"/>
      <protection/>
    </xf>
    <xf numFmtId="6" fontId="41" fillId="0" borderId="60" xfId="61" applyNumberFormat="1" applyFont="1" applyBorder="1" applyAlignment="1">
      <alignment horizontal="center"/>
      <protection/>
    </xf>
    <xf numFmtId="0" fontId="41" fillId="0" borderId="60" xfId="61" applyFont="1" applyBorder="1" applyAlignment="1">
      <alignment horizontal="center"/>
      <protection/>
    </xf>
    <xf numFmtId="0" fontId="98" fillId="0" borderId="0" xfId="61" applyFont="1" applyBorder="1" applyAlignment="1">
      <alignment horizontal="center"/>
      <protection/>
    </xf>
    <xf numFmtId="0" fontId="16" fillId="0" borderId="0" xfId="61">
      <alignment/>
      <protection/>
    </xf>
    <xf numFmtId="0" fontId="41" fillId="0" borderId="0" xfId="61" applyFont="1">
      <alignment/>
      <protection/>
    </xf>
    <xf numFmtId="0" fontId="41" fillId="0" borderId="61" xfId="61" applyFont="1" applyBorder="1" applyAlignment="1">
      <alignment horizontal="center" vertical="top"/>
      <protection/>
    </xf>
    <xf numFmtId="0" fontId="41" fillId="0" borderId="61" xfId="61" applyFont="1" applyBorder="1" applyAlignment="1">
      <alignment vertical="top"/>
      <protection/>
    </xf>
    <xf numFmtId="42" fontId="41" fillId="0" borderId="61" xfId="61" applyNumberFormat="1" applyFont="1" applyBorder="1" applyAlignment="1">
      <alignment horizontal="center" vertical="top"/>
      <protection/>
    </xf>
    <xf numFmtId="6" fontId="41" fillId="0" borderId="61" xfId="61" applyNumberFormat="1" applyFont="1" applyBorder="1" applyAlignment="1">
      <alignment horizontal="center" vertical="top"/>
      <protection/>
    </xf>
    <xf numFmtId="6" fontId="41" fillId="0" borderId="62" xfId="61" applyNumberFormat="1" applyFont="1" applyBorder="1" applyAlignment="1">
      <alignment horizontal="center" vertical="top"/>
      <protection/>
    </xf>
    <xf numFmtId="0" fontId="41" fillId="0" borderId="62" xfId="61" applyFont="1" applyBorder="1" applyAlignment="1">
      <alignment horizontal="center" vertical="top"/>
      <protection/>
    </xf>
    <xf numFmtId="167" fontId="99" fillId="0" borderId="0" xfId="44" applyNumberFormat="1" applyFont="1" applyAlignment="1">
      <alignment horizontal="left" vertical="top"/>
    </xf>
    <xf numFmtId="0" fontId="10" fillId="0" borderId="0" xfId="61" applyFont="1" applyAlignment="1">
      <alignment vertical="top"/>
      <protection/>
    </xf>
    <xf numFmtId="0" fontId="41" fillId="0" borderId="0" xfId="61" applyFont="1" applyAlignment="1">
      <alignment vertical="top"/>
      <protection/>
    </xf>
    <xf numFmtId="167" fontId="99" fillId="0" borderId="0" xfId="44" applyNumberFormat="1" applyFont="1" applyAlignment="1">
      <alignment horizontal="center" vertical="top"/>
    </xf>
    <xf numFmtId="0" fontId="42" fillId="0" borderId="21" xfId="66" applyFont="1" applyFill="1" applyBorder="1" applyAlignment="1">
      <alignment horizontal="center" wrapText="1"/>
      <protection/>
    </xf>
    <xf numFmtId="0" fontId="42" fillId="0" borderId="63" xfId="66" applyFont="1" applyFill="1" applyBorder="1" applyAlignment="1">
      <alignment wrapText="1"/>
      <protection/>
    </xf>
    <xf numFmtId="164" fontId="42" fillId="0" borderId="63" xfId="44" applyNumberFormat="1" applyFont="1" applyFill="1" applyBorder="1" applyAlignment="1">
      <alignment horizontal="right" wrapText="1"/>
    </xf>
    <xf numFmtId="2" fontId="8" fillId="0" borderId="63" xfId="50" applyNumberFormat="1" applyFont="1" applyBorder="1" applyAlignment="1">
      <alignment horizontal="center"/>
    </xf>
    <xf numFmtId="6" fontId="100" fillId="0" borderId="0" xfId="61" applyNumberFormat="1" applyFont="1" applyAlignment="1">
      <alignment horizontal="center"/>
      <protection/>
    </xf>
    <xf numFmtId="0" fontId="17" fillId="0" borderId="0" xfId="61" applyFont="1">
      <alignment/>
      <protection/>
    </xf>
    <xf numFmtId="0" fontId="42" fillId="0" borderId="0" xfId="61" applyFont="1">
      <alignment/>
      <protection/>
    </xf>
    <xf numFmtId="167" fontId="100" fillId="0" borderId="0" xfId="44" applyNumberFormat="1" applyFont="1" applyAlignment="1">
      <alignment horizontal="center"/>
    </xf>
    <xf numFmtId="0" fontId="42" fillId="0" borderId="63" xfId="66" applyFont="1" applyFill="1" applyBorder="1" applyAlignment="1">
      <alignment horizontal="center" wrapText="1"/>
      <protection/>
    </xf>
    <xf numFmtId="0" fontId="42" fillId="0" borderId="21" xfId="66" applyFont="1" applyFill="1" applyBorder="1" applyAlignment="1" quotePrefix="1">
      <alignment horizontal="center" wrapText="1"/>
      <protection/>
    </xf>
    <xf numFmtId="0" fontId="42" fillId="0" borderId="63" xfId="66" applyFont="1" applyFill="1" applyBorder="1" applyAlignment="1" quotePrefix="1">
      <alignment horizontal="center" wrapText="1"/>
      <protection/>
    </xf>
    <xf numFmtId="6" fontId="100" fillId="10" borderId="0" xfId="61" applyNumberFormat="1" applyFont="1" applyFill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164" fontId="14" fillId="0" borderId="15" xfId="44" applyNumberFormat="1" applyFont="1" applyBorder="1" applyAlignment="1">
      <alignment/>
    </xf>
    <xf numFmtId="164" fontId="14" fillId="0" borderId="64" xfId="44" applyNumberFormat="1" applyFont="1" applyBorder="1" applyAlignment="1">
      <alignment/>
    </xf>
    <xf numFmtId="164" fontId="14" fillId="0" borderId="65" xfId="44" applyNumberFormat="1" applyFont="1" applyBorder="1" applyAlignment="1">
      <alignment/>
    </xf>
    <xf numFmtId="164" fontId="14" fillId="0" borderId="20" xfId="44" applyNumberFormat="1" applyFont="1" applyBorder="1" applyAlignment="1">
      <alignment/>
    </xf>
    <xf numFmtId="164" fontId="14" fillId="0" borderId="66" xfId="44" applyNumberFormat="1" applyFont="1" applyBorder="1" applyAlignment="1">
      <alignment/>
    </xf>
    <xf numFmtId="164" fontId="14" fillId="0" borderId="67" xfId="44" applyNumberFormat="1" applyFont="1" applyBorder="1" applyAlignment="1">
      <alignment/>
    </xf>
    <xf numFmtId="0" fontId="10" fillId="0" borderId="0" xfId="61" applyFont="1">
      <alignment/>
      <protection/>
    </xf>
    <xf numFmtId="0" fontId="4" fillId="0" borderId="0" xfId="61" applyFont="1">
      <alignment/>
      <protection/>
    </xf>
    <xf numFmtId="0" fontId="15" fillId="0" borderId="0" xfId="61" applyFont="1">
      <alignment/>
      <protection/>
    </xf>
    <xf numFmtId="0" fontId="43" fillId="0" borderId="0" xfId="61" applyFont="1" applyAlignment="1">
      <alignment horizontal="center"/>
      <protection/>
    </xf>
    <xf numFmtId="0" fontId="43" fillId="0" borderId="0" xfId="61" applyFont="1">
      <alignment/>
      <protection/>
    </xf>
    <xf numFmtId="42" fontId="43" fillId="0" borderId="0" xfId="44" applyNumberFormat="1" applyFont="1" applyAlignment="1">
      <alignment/>
    </xf>
    <xf numFmtId="164" fontId="43" fillId="0" borderId="0" xfId="44" applyNumberFormat="1" applyFont="1" applyAlignment="1">
      <alignment/>
    </xf>
    <xf numFmtId="0" fontId="101" fillId="0" borderId="0" xfId="61" applyFont="1" applyAlignment="1">
      <alignment horizontal="center"/>
      <protection/>
    </xf>
    <xf numFmtId="0" fontId="38" fillId="0" borderId="0" xfId="62" applyFont="1" applyBorder="1" applyAlignment="1">
      <alignment horizontal="center"/>
      <protection/>
    </xf>
    <xf numFmtId="167" fontId="101" fillId="0" borderId="0" xfId="45" applyNumberFormat="1" applyFont="1" applyAlignment="1">
      <alignment horizontal="center"/>
    </xf>
    <xf numFmtId="0" fontId="39" fillId="0" borderId="0" xfId="62" applyFont="1">
      <alignment/>
      <protection/>
    </xf>
    <xf numFmtId="0" fontId="97" fillId="0" borderId="0" xfId="62" applyFont="1" applyBorder="1" applyAlignment="1">
      <alignment horizontal="center"/>
      <protection/>
    </xf>
    <xf numFmtId="0" fontId="8" fillId="0" borderId="59" xfId="62" applyFont="1" applyBorder="1" applyAlignment="1">
      <alignment horizontal="center"/>
      <protection/>
    </xf>
    <xf numFmtId="0" fontId="8" fillId="0" borderId="59" xfId="62" applyFont="1" applyBorder="1">
      <alignment/>
      <protection/>
    </xf>
    <xf numFmtId="0" fontId="8" fillId="0" borderId="60" xfId="62" applyFont="1" applyBorder="1" applyAlignment="1">
      <alignment horizontal="center"/>
      <protection/>
    </xf>
    <xf numFmtId="0" fontId="8" fillId="0" borderId="0" xfId="62" applyFont="1" applyBorder="1" applyAlignment="1">
      <alignment horizontal="center" wrapText="1"/>
      <protection/>
    </xf>
    <xf numFmtId="167" fontId="98" fillId="0" borderId="0" xfId="45" applyNumberFormat="1" applyFont="1" applyAlignment="1">
      <alignment horizontal="center"/>
    </xf>
    <xf numFmtId="0" fontId="41" fillId="0" borderId="0" xfId="62" applyFont="1">
      <alignment/>
      <protection/>
    </xf>
    <xf numFmtId="0" fontId="8" fillId="0" borderId="68" xfId="62" applyFont="1" applyBorder="1" applyAlignment="1">
      <alignment horizontal="center"/>
      <protection/>
    </xf>
    <xf numFmtId="0" fontId="8" fillId="0" borderId="68" xfId="62" applyFont="1" applyBorder="1">
      <alignment/>
      <protection/>
    </xf>
    <xf numFmtId="0" fontId="8" fillId="0" borderId="69" xfId="62" applyFont="1" applyBorder="1" applyAlignment="1">
      <alignment horizontal="center"/>
      <protection/>
    </xf>
    <xf numFmtId="0" fontId="42" fillId="0" borderId="0" xfId="62" applyFont="1" applyBorder="1" applyAlignment="1">
      <alignment horizontal="center" wrapText="1"/>
      <protection/>
    </xf>
    <xf numFmtId="0" fontId="41" fillId="0" borderId="61" xfId="62" applyFont="1" applyBorder="1" applyAlignment="1">
      <alignment horizontal="center" vertical="top"/>
      <protection/>
    </xf>
    <xf numFmtId="0" fontId="41" fillId="0" borderId="61" xfId="62" applyFont="1" applyBorder="1" applyAlignment="1">
      <alignment vertical="top"/>
      <protection/>
    </xf>
    <xf numFmtId="0" fontId="10" fillId="0" borderId="62" xfId="62" applyFont="1" applyBorder="1" applyAlignment="1">
      <alignment horizontal="center" vertical="top"/>
      <protection/>
    </xf>
    <xf numFmtId="0" fontId="44" fillId="0" borderId="61" xfId="62" applyFont="1" applyBorder="1" applyAlignment="1">
      <alignment horizontal="center" vertical="top" wrapText="1"/>
      <protection/>
    </xf>
    <xf numFmtId="0" fontId="44" fillId="0" borderId="0" xfId="62" applyFont="1" applyBorder="1" applyAlignment="1">
      <alignment horizontal="center" vertical="top" wrapText="1"/>
      <protection/>
    </xf>
    <xf numFmtId="167" fontId="99" fillId="0" borderId="0" xfId="45" applyNumberFormat="1" applyFont="1" applyAlignment="1">
      <alignment horizontal="center" vertical="top"/>
    </xf>
    <xf numFmtId="0" fontId="41" fillId="0" borderId="0" xfId="62" applyFont="1" applyAlignment="1">
      <alignment vertical="top"/>
      <protection/>
    </xf>
    <xf numFmtId="0" fontId="94" fillId="0" borderId="0" xfId="62" applyFont="1">
      <alignment/>
      <protection/>
    </xf>
    <xf numFmtId="0" fontId="17" fillId="0" borderId="21" xfId="66" applyFont="1" applyFill="1" applyBorder="1" applyAlignment="1">
      <alignment horizontal="center" wrapText="1"/>
      <protection/>
    </xf>
    <xf numFmtId="0" fontId="17" fillId="0" borderId="63" xfId="66" applyFont="1" applyFill="1" applyBorder="1" applyAlignment="1">
      <alignment wrapText="1"/>
      <protection/>
    </xf>
    <xf numFmtId="2" fontId="14" fillId="0" borderId="63" xfId="50" applyNumberFormat="1" applyFont="1" applyBorder="1" applyAlignment="1">
      <alignment horizontal="center"/>
    </xf>
    <xf numFmtId="173" fontId="10" fillId="0" borderId="63" xfId="50" applyNumberFormat="1" applyFont="1" applyBorder="1" applyAlignment="1">
      <alignment horizontal="center"/>
    </xf>
    <xf numFmtId="173" fontId="8" fillId="0" borderId="0" xfId="50" applyNumberFormat="1" applyFont="1" applyBorder="1" applyAlignment="1">
      <alignment horizontal="center"/>
    </xf>
    <xf numFmtId="167" fontId="100" fillId="0" borderId="0" xfId="45" applyNumberFormat="1" applyFont="1" applyAlignment="1">
      <alignment horizontal="center"/>
    </xf>
    <xf numFmtId="0" fontId="42" fillId="0" borderId="0" xfId="62" applyFont="1">
      <alignment/>
      <protection/>
    </xf>
    <xf numFmtId="10" fontId="42" fillId="0" borderId="0" xfId="71" applyNumberFormat="1" applyFont="1" applyAlignment="1">
      <alignment/>
    </xf>
    <xf numFmtId="0" fontId="17" fillId="0" borderId="63" xfId="66" applyFont="1" applyFill="1" applyBorder="1" applyAlignment="1">
      <alignment horizontal="center" wrapText="1"/>
      <protection/>
    </xf>
    <xf numFmtId="0" fontId="17" fillId="0" borderId="21" xfId="66" applyFont="1" applyFill="1" applyBorder="1" applyAlignment="1" quotePrefix="1">
      <alignment horizontal="center" wrapText="1"/>
      <protection/>
    </xf>
    <xf numFmtId="0" fontId="17" fillId="0" borderId="63" xfId="66" applyFont="1" applyFill="1" applyBorder="1" applyAlignment="1" quotePrefix="1">
      <alignment horizontal="center" wrapText="1"/>
      <protection/>
    </xf>
    <xf numFmtId="2" fontId="6" fillId="0" borderId="63" xfId="50" applyNumberFormat="1" applyFont="1" applyBorder="1" applyAlignment="1">
      <alignment horizontal="center"/>
    </xf>
    <xf numFmtId="173" fontId="8" fillId="0" borderId="63" xfId="50" applyNumberFormat="1" applyFont="1" applyBorder="1" applyAlignment="1">
      <alignment horizontal="center"/>
    </xf>
    <xf numFmtId="0" fontId="43" fillId="0" borderId="0" xfId="62" applyFont="1" applyAlignment="1">
      <alignment horizontal="center"/>
      <protection/>
    </xf>
    <xf numFmtId="0" fontId="43" fillId="0" borderId="0" xfId="62" applyFont="1">
      <alignment/>
      <protection/>
    </xf>
    <xf numFmtId="0" fontId="16" fillId="0" borderId="0" xfId="62">
      <alignment/>
      <protection/>
    </xf>
    <xf numFmtId="164" fontId="43" fillId="0" borderId="0" xfId="45" applyNumberFormat="1" applyFont="1" applyAlignment="1">
      <alignment/>
    </xf>
    <xf numFmtId="174" fontId="16" fillId="0" borderId="0" xfId="62" applyNumberFormat="1">
      <alignment/>
      <protection/>
    </xf>
    <xf numFmtId="0" fontId="45" fillId="0" borderId="0" xfId="65" applyFont="1" applyBorder="1" applyAlignment="1">
      <alignment horizontal="center"/>
      <protection/>
    </xf>
    <xf numFmtId="0" fontId="14" fillId="0" borderId="0" xfId="64" applyFont="1">
      <alignment/>
      <protection/>
    </xf>
    <xf numFmtId="0" fontId="46" fillId="0" borderId="0" xfId="65" applyFont="1">
      <alignment/>
      <protection/>
    </xf>
    <xf numFmtId="0" fontId="47" fillId="0" borderId="0" xfId="65" applyFont="1" applyBorder="1" applyAlignment="1">
      <alignment horizontal="center" vertical="center"/>
      <protection/>
    </xf>
    <xf numFmtId="0" fontId="40" fillId="0" borderId="0" xfId="65" applyFont="1" applyBorder="1" applyAlignment="1">
      <alignment horizontal="center" vertical="top"/>
      <protection/>
    </xf>
    <xf numFmtId="0" fontId="39" fillId="0" borderId="0" xfId="65" applyFont="1">
      <alignment/>
      <protection/>
    </xf>
    <xf numFmtId="0" fontId="41" fillId="0" borderId="59" xfId="65" applyFont="1" applyBorder="1" applyAlignment="1">
      <alignment horizontal="center" vertical="center"/>
      <protection/>
    </xf>
    <xf numFmtId="0" fontId="41" fillId="0" borderId="59" xfId="65" applyFont="1" applyBorder="1" applyAlignment="1">
      <alignment vertical="center"/>
      <protection/>
    </xf>
    <xf numFmtId="0" fontId="41" fillId="0" borderId="60" xfId="65" applyFont="1" applyBorder="1" applyAlignment="1">
      <alignment horizontal="center" vertical="center"/>
      <protection/>
    </xf>
    <xf numFmtId="0" fontId="41" fillId="0" borderId="0" xfId="65" applyFont="1">
      <alignment/>
      <protection/>
    </xf>
    <xf numFmtId="0" fontId="41" fillId="0" borderId="61" xfId="65" applyFont="1" applyBorder="1" applyAlignment="1">
      <alignment horizontal="center" vertical="center"/>
      <protection/>
    </xf>
    <xf numFmtId="0" fontId="41" fillId="0" borderId="61" xfId="65" applyFont="1" applyBorder="1" applyAlignment="1">
      <alignment vertical="center"/>
      <protection/>
    </xf>
    <xf numFmtId="0" fontId="41" fillId="0" borderId="62" xfId="65" applyFont="1" applyBorder="1" applyAlignment="1">
      <alignment horizontal="center" vertical="center"/>
      <protection/>
    </xf>
    <xf numFmtId="0" fontId="41" fillId="0" borderId="0" xfId="65" applyFont="1" applyAlignment="1">
      <alignment vertical="top"/>
      <protection/>
    </xf>
    <xf numFmtId="0" fontId="34" fillId="0" borderId="21" xfId="66" applyFont="1" applyFill="1" applyBorder="1" applyAlignment="1">
      <alignment horizontal="center" wrapText="1"/>
      <protection/>
    </xf>
    <xf numFmtId="0" fontId="34" fillId="0" borderId="63" xfId="66" applyFont="1" applyFill="1" applyBorder="1" applyAlignment="1">
      <alignment wrapText="1"/>
      <protection/>
    </xf>
    <xf numFmtId="2" fontId="48" fillId="0" borderId="63" xfId="51" applyNumberFormat="1" applyFont="1" applyBorder="1" applyAlignment="1">
      <alignment horizontal="center"/>
    </xf>
    <xf numFmtId="2" fontId="48" fillId="0" borderId="70" xfId="51" applyNumberFormat="1" applyFont="1" applyBorder="1" applyAlignment="1">
      <alignment horizontal="center"/>
    </xf>
    <xf numFmtId="2" fontId="48" fillId="0" borderId="71" xfId="51" applyNumberFormat="1" applyFont="1" applyBorder="1" applyAlignment="1">
      <alignment horizontal="center"/>
    </xf>
    <xf numFmtId="0" fontId="43" fillId="0" borderId="0" xfId="65" applyFont="1">
      <alignment/>
      <protection/>
    </xf>
    <xf numFmtId="0" fontId="34" fillId="0" borderId="63" xfId="66" applyFont="1" applyFill="1" applyBorder="1" applyAlignment="1">
      <alignment horizontal="center" wrapText="1"/>
      <protection/>
    </xf>
    <xf numFmtId="2" fontId="48" fillId="0" borderId="72" xfId="51" applyNumberFormat="1" applyFont="1" applyBorder="1" applyAlignment="1">
      <alignment horizontal="center"/>
    </xf>
    <xf numFmtId="2" fontId="48" fillId="0" borderId="73" xfId="51" applyNumberFormat="1" applyFont="1" applyBorder="1" applyAlignment="1">
      <alignment horizontal="center"/>
    </xf>
    <xf numFmtId="0" fontId="33" fillId="0" borderId="22" xfId="64" applyFont="1" applyBorder="1">
      <alignment/>
      <protection/>
    </xf>
    <xf numFmtId="0" fontId="34" fillId="0" borderId="21" xfId="66" applyFont="1" applyFill="1" applyBorder="1" applyAlignment="1" quotePrefix="1">
      <alignment horizontal="center" wrapText="1"/>
      <protection/>
    </xf>
    <xf numFmtId="0" fontId="34" fillId="0" borderId="63" xfId="66" applyFont="1" applyFill="1" applyBorder="1" applyAlignment="1" quotePrefix="1">
      <alignment horizontal="center" wrapText="1"/>
      <protection/>
    </xf>
    <xf numFmtId="0" fontId="34" fillId="0" borderId="0" xfId="66" applyFont="1" applyFill="1" applyBorder="1" applyAlignment="1">
      <alignment horizontal="center" wrapText="1"/>
      <protection/>
    </xf>
    <xf numFmtId="0" fontId="34" fillId="0" borderId="0" xfId="66" applyFont="1" applyFill="1" applyBorder="1" applyAlignment="1">
      <alignment wrapText="1"/>
      <protection/>
    </xf>
    <xf numFmtId="2" fontId="48" fillId="0" borderId="0" xfId="51" applyNumberFormat="1" applyFont="1" applyBorder="1" applyAlignment="1">
      <alignment horizontal="center"/>
    </xf>
    <xf numFmtId="0" fontId="34" fillId="0" borderId="0" xfId="65" applyFont="1" applyAlignment="1">
      <alignment horizontal="center"/>
      <protection/>
    </xf>
    <xf numFmtId="0" fontId="43" fillId="0" borderId="0" xfId="65" applyFont="1" applyAlignment="1">
      <alignment horizontal="center"/>
      <protection/>
    </xf>
    <xf numFmtId="164" fontId="43" fillId="0" borderId="0" xfId="47" applyNumberFormat="1" applyFont="1" applyAlignment="1">
      <alignment/>
    </xf>
    <xf numFmtId="164" fontId="43" fillId="0" borderId="0" xfId="47" applyNumberFormat="1" applyFont="1" applyAlignment="1">
      <alignment horizontal="center"/>
    </xf>
    <xf numFmtId="168" fontId="33" fillId="0" borderId="0" xfId="65" applyNumberFormat="1" applyFont="1" applyAlignment="1">
      <alignment horizontal="left"/>
      <protection/>
    </xf>
    <xf numFmtId="0" fontId="34" fillId="0" borderId="0" xfId="65" applyFont="1">
      <alignment/>
      <protection/>
    </xf>
    <xf numFmtId="164" fontId="34" fillId="0" borderId="0" xfId="47" applyNumberFormat="1" applyFont="1" applyAlignment="1">
      <alignment/>
    </xf>
    <xf numFmtId="164" fontId="34" fillId="0" borderId="0" xfId="47" applyNumberFormat="1" applyFont="1" applyAlignment="1">
      <alignment horizontal="center"/>
    </xf>
    <xf numFmtId="0" fontId="49" fillId="0" borderId="0" xfId="64" applyFont="1">
      <alignment/>
      <protection/>
    </xf>
    <xf numFmtId="0" fontId="50" fillId="0" borderId="0" xfId="65" applyFont="1">
      <alignment/>
      <protection/>
    </xf>
    <xf numFmtId="0" fontId="33" fillId="0" borderId="0" xfId="65" applyFont="1">
      <alignment/>
      <protection/>
    </xf>
    <xf numFmtId="39" fontId="14" fillId="0" borderId="74" xfId="42" applyNumberFormat="1" applyFont="1" applyFill="1" applyBorder="1" applyAlignment="1">
      <alignment horizontal="center" vertical="center"/>
    </xf>
    <xf numFmtId="0" fontId="38" fillId="0" borderId="0" xfId="61" applyFont="1" applyBorder="1" applyAlignment="1">
      <alignment horizontal="center"/>
      <protection/>
    </xf>
    <xf numFmtId="0" fontId="40" fillId="0" borderId="0" xfId="61" applyFont="1" applyBorder="1" applyAlignment="1">
      <alignment horizontal="center" vertical="top"/>
      <protection/>
    </xf>
    <xf numFmtId="0" fontId="38" fillId="0" borderId="0" xfId="62" applyFont="1" applyBorder="1" applyAlignment="1">
      <alignment horizontal="center"/>
      <protection/>
    </xf>
    <xf numFmtId="0" fontId="8" fillId="0" borderId="59" xfId="62" applyFont="1" applyBorder="1" applyAlignment="1">
      <alignment horizontal="center" wrapText="1"/>
      <protection/>
    </xf>
    <xf numFmtId="0" fontId="42" fillId="0" borderId="68" xfId="62" applyFont="1" applyBorder="1" applyAlignment="1">
      <alignment horizontal="center" wrapText="1"/>
      <protection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wrapText="1"/>
    </xf>
    <xf numFmtId="49" fontId="21" fillId="0" borderId="0" xfId="63" applyNumberFormat="1" applyFont="1" applyFill="1" applyBorder="1" applyAlignment="1">
      <alignment wrapText="1"/>
      <protection/>
    </xf>
    <xf numFmtId="0" fontId="22" fillId="0" borderId="0" xfId="0" applyFont="1" applyBorder="1" applyAlignment="1">
      <alignment horizontal="center" vertical="center"/>
    </xf>
    <xf numFmtId="0" fontId="22" fillId="0" borderId="18" xfId="63" applyFont="1" applyBorder="1" applyAlignment="1">
      <alignment horizontal="center" vertical="center"/>
      <protection/>
    </xf>
    <xf numFmtId="0" fontId="45" fillId="0" borderId="0" xfId="65" applyFont="1" applyBorder="1" applyAlignment="1">
      <alignment horizontal="center"/>
      <protection/>
    </xf>
    <xf numFmtId="0" fontId="47" fillId="0" borderId="0" xfId="65" applyFont="1" applyBorder="1" applyAlignment="1">
      <alignment horizontal="center" vertical="center"/>
      <protection/>
    </xf>
    <xf numFmtId="0" fontId="41" fillId="0" borderId="10" xfId="65" applyFont="1" applyBorder="1" applyAlignment="1">
      <alignment horizontal="center" vertical="center"/>
      <protection/>
    </xf>
    <xf numFmtId="0" fontId="41" fillId="0" borderId="12" xfId="65" applyFont="1" applyBorder="1" applyAlignment="1">
      <alignment horizontal="center" vertical="center"/>
      <protection/>
    </xf>
    <xf numFmtId="0" fontId="41" fillId="0" borderId="17" xfId="65" applyFont="1" applyBorder="1" applyAlignment="1">
      <alignment horizontal="center" vertical="center"/>
      <protection/>
    </xf>
    <xf numFmtId="0" fontId="41" fillId="0" borderId="19" xfId="65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Currency 2" xfId="50"/>
    <cellStyle name="Currency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3 2" xfId="63"/>
    <cellStyle name="Normal 9" xfId="64"/>
    <cellStyle name="Normal_ep_loss_reserves_06_rev5_16" xfId="65"/>
    <cellStyle name="Normal_Sheet1" xfId="66"/>
    <cellStyle name="Note" xfId="67"/>
    <cellStyle name="Output" xfId="68"/>
    <cellStyle name="Percent" xfId="69"/>
    <cellStyle name="Percent 2" xfId="70"/>
    <cellStyle name="Percent 5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SheetLayoutView="103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G1"/>
    </sheetView>
  </sheetViews>
  <sheetFormatPr defaultColWidth="9.140625" defaultRowHeight="12.75"/>
  <cols>
    <col min="1" max="1" width="12.8515625" style="315" customWidth="1"/>
    <col min="2" max="2" width="31.57421875" style="316" customWidth="1"/>
    <col min="3" max="3" width="20.7109375" style="317" customWidth="1"/>
    <col min="4" max="4" width="18.57421875" style="318" customWidth="1"/>
    <col min="5" max="6" width="18.57421875" style="316" customWidth="1"/>
    <col min="7" max="7" width="11.7109375" style="316" customWidth="1"/>
    <col min="8" max="8" width="4.8515625" style="319" hidden="1" customWidth="1"/>
    <col min="9" max="11" width="9.140625" style="298" hidden="1" customWidth="1"/>
    <col min="12" max="12" width="4.8515625" style="316" hidden="1" customWidth="1"/>
    <col min="13" max="13" width="9.140625" style="316" hidden="1" customWidth="1"/>
    <col min="14" max="14" width="9.140625" style="316" customWidth="1"/>
    <col min="15" max="16384" width="9.140625" style="316" customWidth="1"/>
  </cols>
  <sheetData>
    <row r="1" spans="1:11" s="270" customFormat="1" ht="18" customHeight="1">
      <c r="A1" s="401" t="s">
        <v>154</v>
      </c>
      <c r="B1" s="401"/>
      <c r="C1" s="401"/>
      <c r="D1" s="401"/>
      <c r="E1" s="401"/>
      <c r="F1" s="401"/>
      <c r="G1" s="401"/>
      <c r="H1" s="268"/>
      <c r="I1" s="269"/>
      <c r="J1" s="269"/>
      <c r="K1" s="269"/>
    </row>
    <row r="2" spans="1:11" s="270" customFormat="1" ht="21.75" customHeight="1">
      <c r="A2" s="402" t="s">
        <v>155</v>
      </c>
      <c r="B2" s="402"/>
      <c r="C2" s="402"/>
      <c r="D2" s="402"/>
      <c r="E2" s="402"/>
      <c r="F2" s="402"/>
      <c r="G2" s="402"/>
      <c r="H2" s="272"/>
      <c r="I2" s="269"/>
      <c r="J2" s="269"/>
      <c r="K2" s="269"/>
    </row>
    <row r="3" spans="1:11" s="270" customFormat="1" ht="21.75" customHeight="1">
      <c r="A3" s="271"/>
      <c r="B3" s="271"/>
      <c r="C3" s="271"/>
      <c r="D3" s="271"/>
      <c r="E3" s="271"/>
      <c r="F3" s="271"/>
      <c r="G3" s="271"/>
      <c r="H3" s="272"/>
      <c r="I3" s="269"/>
      <c r="J3" s="269"/>
      <c r="K3" s="269"/>
    </row>
    <row r="4" spans="1:11" s="270" customFormat="1" ht="16.5" customHeight="1" thickBot="1">
      <c r="A4" s="267"/>
      <c r="B4" s="267"/>
      <c r="C4" s="273"/>
      <c r="D4" s="273"/>
      <c r="E4" s="267"/>
      <c r="F4" s="267"/>
      <c r="G4" s="267"/>
      <c r="H4" s="268"/>
      <c r="I4" s="269"/>
      <c r="J4" s="269"/>
      <c r="K4" s="269"/>
    </row>
    <row r="5" spans="1:11" s="282" customFormat="1" ht="15" customHeight="1">
      <c r="A5" s="274"/>
      <c r="B5" s="275"/>
      <c r="C5" s="276" t="s">
        <v>156</v>
      </c>
      <c r="D5" s="277" t="s">
        <v>157</v>
      </c>
      <c r="E5" s="277" t="s">
        <v>158</v>
      </c>
      <c r="F5" s="278" t="s">
        <v>159</v>
      </c>
      <c r="G5" s="279" t="s">
        <v>160</v>
      </c>
      <c r="H5" s="280"/>
      <c r="I5" s="281"/>
      <c r="J5" s="281"/>
      <c r="K5" s="281"/>
    </row>
    <row r="6" spans="1:13" s="291" customFormat="1" ht="15" customHeight="1" thickBot="1">
      <c r="A6" s="283" t="s">
        <v>161</v>
      </c>
      <c r="B6" s="284" t="s">
        <v>18</v>
      </c>
      <c r="C6" s="285" t="s">
        <v>162</v>
      </c>
      <c r="D6" s="286" t="s">
        <v>163</v>
      </c>
      <c r="E6" s="286" t="s">
        <v>163</v>
      </c>
      <c r="F6" s="287" t="s">
        <v>163</v>
      </c>
      <c r="G6" s="288" t="s">
        <v>164</v>
      </c>
      <c r="H6" s="289" t="s">
        <v>165</v>
      </c>
      <c r="I6" s="290"/>
      <c r="J6" s="290"/>
      <c r="K6" s="290"/>
      <c r="M6" s="292" t="s">
        <v>166</v>
      </c>
    </row>
    <row r="7" spans="1:13" s="299" customFormat="1" ht="13.5" customHeight="1">
      <c r="A7" s="293" t="s">
        <v>41</v>
      </c>
      <c r="B7" s="294" t="s">
        <v>42</v>
      </c>
      <c r="C7" s="295">
        <v>1663056926</v>
      </c>
      <c r="D7" s="295">
        <v>906661651</v>
      </c>
      <c r="E7" s="295">
        <v>755993348</v>
      </c>
      <c r="F7" s="295">
        <f aca="true" t="shared" si="0" ref="F7:F32">(D7+E7)/2</f>
        <v>831327499.5</v>
      </c>
      <c r="G7" s="296">
        <f aca="true" t="shared" si="1" ref="G7:G32">F7/C7</f>
        <v>0.49987916017975204</v>
      </c>
      <c r="H7" s="297"/>
      <c r="I7" s="298"/>
      <c r="J7" s="298"/>
      <c r="K7" s="298"/>
      <c r="M7" s="300" t="s">
        <v>44</v>
      </c>
    </row>
    <row r="8" spans="1:13" s="299" customFormat="1" ht="13.5" customHeight="1">
      <c r="A8" s="301" t="s">
        <v>45</v>
      </c>
      <c r="B8" s="294" t="s">
        <v>46</v>
      </c>
      <c r="C8" s="295">
        <v>1088407673</v>
      </c>
      <c r="D8" s="295">
        <v>565401239</v>
      </c>
      <c r="E8" s="295">
        <v>487707081</v>
      </c>
      <c r="F8" s="295">
        <f t="shared" si="0"/>
        <v>526554160</v>
      </c>
      <c r="G8" s="296">
        <f t="shared" si="1"/>
        <v>0.48378394701008326</v>
      </c>
      <c r="H8" s="297"/>
      <c r="I8" s="298"/>
      <c r="J8" s="298"/>
      <c r="K8" s="298"/>
      <c r="M8" s="300" t="s">
        <v>44</v>
      </c>
    </row>
    <row r="9" spans="1:13" s="299" customFormat="1" ht="13.5" customHeight="1" hidden="1">
      <c r="A9" s="301" t="s">
        <v>167</v>
      </c>
      <c r="B9" s="294" t="s">
        <v>168</v>
      </c>
      <c r="C9" s="295">
        <v>509854743</v>
      </c>
      <c r="D9" s="295">
        <v>154280267</v>
      </c>
      <c r="E9" s="295">
        <v>146742090</v>
      </c>
      <c r="F9" s="295">
        <f t="shared" si="0"/>
        <v>150511178.5</v>
      </c>
      <c r="G9" s="296">
        <f t="shared" si="1"/>
        <v>0.2952040371624041</v>
      </c>
      <c r="H9" s="297"/>
      <c r="I9" s="298"/>
      <c r="J9" s="298"/>
      <c r="K9" s="298"/>
      <c r="M9" s="300"/>
    </row>
    <row r="10" spans="1:13" s="299" customFormat="1" ht="13.5" customHeight="1" hidden="1">
      <c r="A10" s="301" t="s">
        <v>169</v>
      </c>
      <c r="B10" s="294" t="s">
        <v>170</v>
      </c>
      <c r="C10" s="295">
        <v>145991499</v>
      </c>
      <c r="D10" s="295">
        <v>78485274</v>
      </c>
      <c r="E10" s="295">
        <v>80012417</v>
      </c>
      <c r="F10" s="295">
        <f t="shared" si="0"/>
        <v>79248845.5</v>
      </c>
      <c r="G10" s="296">
        <f t="shared" si="1"/>
        <v>0.5428319185899996</v>
      </c>
      <c r="H10" s="297"/>
      <c r="I10" s="298"/>
      <c r="J10" s="298"/>
      <c r="K10" s="298"/>
      <c r="M10" s="300"/>
    </row>
    <row r="11" spans="1:13" s="299" customFormat="1" ht="13.5" customHeight="1">
      <c r="A11" s="301" t="s">
        <v>47</v>
      </c>
      <c r="B11" s="294" t="s">
        <v>48</v>
      </c>
      <c r="C11" s="295">
        <v>18066585</v>
      </c>
      <c r="D11" s="295">
        <v>931317</v>
      </c>
      <c r="E11" s="295">
        <v>746145</v>
      </c>
      <c r="F11" s="295">
        <f>(D11+E11)/2</f>
        <v>838731</v>
      </c>
      <c r="G11" s="296">
        <f>F11/C11</f>
        <v>0.0464244349444015</v>
      </c>
      <c r="H11" s="297"/>
      <c r="I11" s="298"/>
      <c r="J11" s="298"/>
      <c r="K11" s="298"/>
      <c r="M11" s="300" t="s">
        <v>44</v>
      </c>
    </row>
    <row r="12" spans="1:13" s="299" customFormat="1" ht="13.5" customHeight="1">
      <c r="A12" s="301" t="s">
        <v>49</v>
      </c>
      <c r="B12" s="294" t="s">
        <v>50</v>
      </c>
      <c r="C12" s="295">
        <v>68084235</v>
      </c>
      <c r="D12" s="295">
        <v>34277408</v>
      </c>
      <c r="E12" s="295">
        <v>25801728</v>
      </c>
      <c r="F12" s="295">
        <f>(D12+E12)/2</f>
        <v>30039568</v>
      </c>
      <c r="G12" s="296">
        <f>F12/C12</f>
        <v>0.44121180182166986</v>
      </c>
      <c r="H12" s="297"/>
      <c r="I12" s="298"/>
      <c r="J12" s="298"/>
      <c r="K12" s="298"/>
      <c r="M12" s="300" t="s">
        <v>44</v>
      </c>
    </row>
    <row r="13" spans="1:13" s="299" customFormat="1" ht="13.5" customHeight="1">
      <c r="A13" s="302" t="s">
        <v>51</v>
      </c>
      <c r="B13" s="294" t="s">
        <v>52</v>
      </c>
      <c r="C13" s="295">
        <v>214156809</v>
      </c>
      <c r="D13" s="295">
        <v>102238174</v>
      </c>
      <c r="E13" s="295">
        <v>101752864</v>
      </c>
      <c r="F13" s="295">
        <f t="shared" si="0"/>
        <v>101995519</v>
      </c>
      <c r="G13" s="296">
        <f t="shared" si="1"/>
        <v>0.4762655900424814</v>
      </c>
      <c r="H13" s="297"/>
      <c r="I13" s="298"/>
      <c r="J13" s="298"/>
      <c r="K13" s="298"/>
      <c r="M13" s="300" t="s">
        <v>44</v>
      </c>
    </row>
    <row r="14" spans="1:13" s="299" customFormat="1" ht="13.5" customHeight="1">
      <c r="A14" s="303" t="s">
        <v>53</v>
      </c>
      <c r="B14" s="294" t="s">
        <v>54</v>
      </c>
      <c r="C14" s="295">
        <v>9514505256</v>
      </c>
      <c r="D14" s="295">
        <v>5140890537</v>
      </c>
      <c r="E14" s="295">
        <v>4720119396</v>
      </c>
      <c r="F14" s="295">
        <f t="shared" si="0"/>
        <v>4930504966.5</v>
      </c>
      <c r="G14" s="296">
        <f t="shared" si="1"/>
        <v>0.518209285069315</v>
      </c>
      <c r="H14" s="297"/>
      <c r="I14" s="298"/>
      <c r="J14" s="298"/>
      <c r="K14" s="298"/>
      <c r="M14" s="300" t="s">
        <v>44</v>
      </c>
    </row>
    <row r="15" spans="1:13" s="299" customFormat="1" ht="13.5" customHeight="1">
      <c r="A15" s="303" t="s">
        <v>55</v>
      </c>
      <c r="B15" s="294" t="s">
        <v>56</v>
      </c>
      <c r="C15" s="295">
        <f>+C16+C17</f>
        <v>5345119011</v>
      </c>
      <c r="D15" s="295">
        <f>+D16+D17</f>
        <v>2667539151</v>
      </c>
      <c r="E15" s="295">
        <f>+E16+E17</f>
        <v>2553362712</v>
      </c>
      <c r="F15" s="295">
        <f t="shared" si="0"/>
        <v>2610450931.5</v>
      </c>
      <c r="G15" s="296">
        <f t="shared" si="1"/>
        <v>0.48838031971370827</v>
      </c>
      <c r="H15" s="304" t="s">
        <v>44</v>
      </c>
      <c r="I15" s="298"/>
      <c r="J15" s="298"/>
      <c r="K15" s="298"/>
      <c r="M15" s="300" t="s">
        <v>44</v>
      </c>
    </row>
    <row r="16" spans="1:13" s="299" customFormat="1" ht="13.5" customHeight="1">
      <c r="A16" s="303" t="s">
        <v>57</v>
      </c>
      <c r="B16" s="294" t="s">
        <v>138</v>
      </c>
      <c r="C16" s="295">
        <v>3422128074</v>
      </c>
      <c r="D16" s="295">
        <v>1680224626</v>
      </c>
      <c r="E16" s="295">
        <v>1625312014</v>
      </c>
      <c r="F16" s="295">
        <f t="shared" si="0"/>
        <v>1652768320</v>
      </c>
      <c r="G16" s="296">
        <f t="shared" si="1"/>
        <v>0.48296506859491667</v>
      </c>
      <c r="H16" s="297"/>
      <c r="I16" s="298"/>
      <c r="J16" s="298"/>
      <c r="K16" s="298"/>
      <c r="M16" s="300" t="s">
        <v>44</v>
      </c>
    </row>
    <row r="17" spans="1:13" s="299" customFormat="1" ht="13.5" customHeight="1">
      <c r="A17" s="303" t="s">
        <v>60</v>
      </c>
      <c r="B17" s="294" t="s">
        <v>139</v>
      </c>
      <c r="C17" s="295">
        <v>1922990937</v>
      </c>
      <c r="D17" s="295">
        <v>987314525</v>
      </c>
      <c r="E17" s="295">
        <v>928050698</v>
      </c>
      <c r="F17" s="295">
        <f t="shared" si="0"/>
        <v>957682611.5</v>
      </c>
      <c r="G17" s="296">
        <f t="shared" si="1"/>
        <v>0.4980172257046888</v>
      </c>
      <c r="H17" s="297"/>
      <c r="I17" s="298"/>
      <c r="J17" s="298"/>
      <c r="K17" s="298"/>
      <c r="M17" s="300" t="s">
        <v>44</v>
      </c>
    </row>
    <row r="18" spans="1:13" s="299" customFormat="1" ht="13.5" customHeight="1" hidden="1">
      <c r="A18" s="303" t="s">
        <v>171</v>
      </c>
      <c r="B18" s="294" t="s">
        <v>172</v>
      </c>
      <c r="C18" s="295">
        <v>589949377</v>
      </c>
      <c r="D18" s="295">
        <v>190104024</v>
      </c>
      <c r="E18" s="295">
        <v>274910688</v>
      </c>
      <c r="F18" s="295">
        <f t="shared" si="0"/>
        <v>232507356</v>
      </c>
      <c r="G18" s="296">
        <f t="shared" si="1"/>
        <v>0.39411408006283905</v>
      </c>
      <c r="H18" s="297"/>
      <c r="I18" s="298"/>
      <c r="J18" s="298"/>
      <c r="K18" s="298"/>
      <c r="M18" s="300"/>
    </row>
    <row r="19" spans="1:13" s="299" customFormat="1" ht="13.5" customHeight="1" hidden="1">
      <c r="A19" s="303" t="s">
        <v>173</v>
      </c>
      <c r="B19" s="294" t="s">
        <v>174</v>
      </c>
      <c r="C19" s="295">
        <v>389496694</v>
      </c>
      <c r="D19" s="295">
        <v>161856788</v>
      </c>
      <c r="E19" s="295">
        <v>139825817</v>
      </c>
      <c r="F19" s="295">
        <f t="shared" si="0"/>
        <v>150841302.5</v>
      </c>
      <c r="G19" s="296">
        <f t="shared" si="1"/>
        <v>0.38727235641183644</v>
      </c>
      <c r="H19" s="297"/>
      <c r="I19" s="298"/>
      <c r="J19" s="298"/>
      <c r="K19" s="298"/>
      <c r="M19" s="300"/>
    </row>
    <row r="20" spans="1:13" s="299" customFormat="1" ht="13.5" customHeight="1">
      <c r="A20" s="303" t="s">
        <v>62</v>
      </c>
      <c r="B20" s="294" t="s">
        <v>63</v>
      </c>
      <c r="C20" s="295">
        <v>3374779011</v>
      </c>
      <c r="D20" s="295">
        <v>921310992</v>
      </c>
      <c r="E20" s="295">
        <v>919947773</v>
      </c>
      <c r="F20" s="295">
        <f t="shared" si="0"/>
        <v>920629382.5</v>
      </c>
      <c r="G20" s="296">
        <f t="shared" si="1"/>
        <v>0.27279693855486054</v>
      </c>
      <c r="H20" s="297"/>
      <c r="I20" s="269" t="s">
        <v>175</v>
      </c>
      <c r="J20" s="269"/>
      <c r="K20" s="269"/>
      <c r="M20" s="300" t="s">
        <v>44</v>
      </c>
    </row>
    <row r="21" spans="1:13" s="299" customFormat="1" ht="13.5" customHeight="1" hidden="1">
      <c r="A21" s="301">
        <v>10</v>
      </c>
      <c r="B21" s="294" t="s">
        <v>176</v>
      </c>
      <c r="C21" s="295">
        <v>52644887</v>
      </c>
      <c r="D21" s="295">
        <v>442430329</v>
      </c>
      <c r="E21" s="295">
        <v>454113839</v>
      </c>
      <c r="F21" s="295">
        <f t="shared" si="0"/>
        <v>448272084</v>
      </c>
      <c r="G21" s="296">
        <f t="shared" si="1"/>
        <v>8.515016548520657</v>
      </c>
      <c r="H21" s="297"/>
      <c r="I21" s="305" t="s">
        <v>177</v>
      </c>
      <c r="J21" s="305" t="s">
        <v>178</v>
      </c>
      <c r="K21" s="305" t="s">
        <v>179</v>
      </c>
      <c r="M21" s="300"/>
    </row>
    <row r="22" spans="1:13" s="299" customFormat="1" ht="13.5" customHeight="1">
      <c r="A22" s="301">
        <v>11</v>
      </c>
      <c r="B22" s="294" t="s">
        <v>65</v>
      </c>
      <c r="C22" s="295">
        <v>816073312</v>
      </c>
      <c r="D22" s="295">
        <v>458849918</v>
      </c>
      <c r="E22" s="295">
        <v>441110034</v>
      </c>
      <c r="F22" s="295">
        <f t="shared" si="0"/>
        <v>449979976</v>
      </c>
      <c r="G22" s="296">
        <f t="shared" si="1"/>
        <v>0.5513965098272936</v>
      </c>
      <c r="H22" s="297"/>
      <c r="I22" s="298"/>
      <c r="J22" s="298"/>
      <c r="K22" s="298"/>
      <c r="M22" s="300" t="s">
        <v>44</v>
      </c>
    </row>
    <row r="23" spans="1:13" s="299" customFormat="1" ht="13.5" customHeight="1">
      <c r="A23" s="301">
        <v>11.1</v>
      </c>
      <c r="B23" s="294" t="s">
        <v>180</v>
      </c>
      <c r="C23" s="295">
        <f>C22*(I23/(I23+I24))</f>
        <v>208880088.96954095</v>
      </c>
      <c r="D23" s="295">
        <f>D22*(J23/(J23+J24))</f>
        <v>139737102.75392222</v>
      </c>
      <c r="E23" s="295">
        <f>E22*(K23/(K23+K24))</f>
        <v>142154617.33847353</v>
      </c>
      <c r="F23" s="295">
        <f t="shared" si="0"/>
        <v>140945860.0461979</v>
      </c>
      <c r="G23" s="296">
        <f t="shared" si="1"/>
        <v>0.6747692455586359</v>
      </c>
      <c r="H23" s="304" t="s">
        <v>44</v>
      </c>
      <c r="I23" s="306">
        <v>2272456</v>
      </c>
      <c r="J23" s="307">
        <v>1372172</v>
      </c>
      <c r="K23" s="308">
        <v>1393459</v>
      </c>
      <c r="M23" s="300" t="s">
        <v>44</v>
      </c>
    </row>
    <row r="24" spans="1:13" s="299" customFormat="1" ht="13.5" customHeight="1">
      <c r="A24" s="301">
        <v>11.2</v>
      </c>
      <c r="B24" s="294" t="s">
        <v>181</v>
      </c>
      <c r="C24" s="295">
        <f>C22-C23</f>
        <v>607193223.030459</v>
      </c>
      <c r="D24" s="295">
        <f>D22-D23</f>
        <v>319112815.2460778</v>
      </c>
      <c r="E24" s="295">
        <f>E22-E23</f>
        <v>298955416.66152644</v>
      </c>
      <c r="F24" s="295">
        <f t="shared" si="0"/>
        <v>309034115.9538021</v>
      </c>
      <c r="G24" s="296">
        <f t="shared" si="1"/>
        <v>0.5089551467841397</v>
      </c>
      <c r="H24" s="304" t="s">
        <v>44</v>
      </c>
      <c r="I24" s="309">
        <v>6605799</v>
      </c>
      <c r="J24" s="310">
        <v>3133582</v>
      </c>
      <c r="K24" s="311">
        <v>2930486</v>
      </c>
      <c r="M24" s="300" t="s">
        <v>44</v>
      </c>
    </row>
    <row r="25" spans="1:13" s="299" customFormat="1" ht="13.5" customHeight="1">
      <c r="A25" s="301">
        <v>12</v>
      </c>
      <c r="B25" s="294" t="s">
        <v>140</v>
      </c>
      <c r="C25" s="295">
        <v>2258586975</v>
      </c>
      <c r="D25" s="295">
        <v>1216624940</v>
      </c>
      <c r="E25" s="295">
        <v>1028652352</v>
      </c>
      <c r="F25" s="295">
        <f t="shared" si="0"/>
        <v>1122638646</v>
      </c>
      <c r="G25" s="296">
        <f t="shared" si="1"/>
        <v>0.4970535376438182</v>
      </c>
      <c r="H25" s="297"/>
      <c r="I25" s="298"/>
      <c r="J25" s="298"/>
      <c r="K25" s="298"/>
      <c r="M25" s="300" t="s">
        <v>44</v>
      </c>
    </row>
    <row r="26" spans="1:13" s="299" customFormat="1" ht="13.5" customHeight="1" hidden="1">
      <c r="A26" s="301">
        <v>13</v>
      </c>
      <c r="B26" s="294" t="s">
        <v>182</v>
      </c>
      <c r="C26" s="295">
        <v>402542413</v>
      </c>
      <c r="D26" s="295">
        <v>411338419</v>
      </c>
      <c r="E26" s="295">
        <v>419020720</v>
      </c>
      <c r="F26" s="295">
        <f t="shared" si="0"/>
        <v>415179569.5</v>
      </c>
      <c r="G26" s="296">
        <f t="shared" si="1"/>
        <v>1.0313933540712392</v>
      </c>
      <c r="H26" s="297"/>
      <c r="I26" s="298"/>
      <c r="J26" s="298"/>
      <c r="K26" s="298"/>
      <c r="M26" s="300"/>
    </row>
    <row r="27" spans="1:13" s="299" customFormat="1" ht="13.5" customHeight="1" hidden="1">
      <c r="A27" s="301">
        <v>14</v>
      </c>
      <c r="B27" s="294" t="s">
        <v>183</v>
      </c>
      <c r="C27" s="295">
        <v>54299</v>
      </c>
      <c r="D27" s="295">
        <v>16022</v>
      </c>
      <c r="E27" s="295">
        <v>48539</v>
      </c>
      <c r="F27" s="295">
        <f t="shared" si="0"/>
        <v>32280.5</v>
      </c>
      <c r="G27" s="296">
        <f t="shared" si="1"/>
        <v>0.594495294572644</v>
      </c>
      <c r="H27" s="297"/>
      <c r="I27" s="298"/>
      <c r="J27" s="298"/>
      <c r="K27" s="298"/>
      <c r="M27" s="300"/>
    </row>
    <row r="28" spans="1:13" s="299" customFormat="1" ht="13.5" customHeight="1" hidden="1">
      <c r="A28" s="301">
        <v>15.1</v>
      </c>
      <c r="B28" s="294" t="s">
        <v>184</v>
      </c>
      <c r="C28" s="295">
        <v>47848</v>
      </c>
      <c r="D28" s="295">
        <v>5746</v>
      </c>
      <c r="E28" s="295">
        <v>9431</v>
      </c>
      <c r="F28" s="295">
        <f t="shared" si="0"/>
        <v>7588.5</v>
      </c>
      <c r="G28" s="296">
        <f t="shared" si="1"/>
        <v>0.1585959705734827</v>
      </c>
      <c r="H28" s="297"/>
      <c r="I28" s="298"/>
      <c r="J28" s="298"/>
      <c r="K28" s="298"/>
      <c r="M28" s="300"/>
    </row>
    <row r="29" spans="1:13" s="299" customFormat="1" ht="13.5" customHeight="1" hidden="1">
      <c r="A29" s="301">
        <v>15.2</v>
      </c>
      <c r="B29" s="294" t="s">
        <v>185</v>
      </c>
      <c r="C29" s="295">
        <v>4254</v>
      </c>
      <c r="D29" s="295">
        <v>103</v>
      </c>
      <c r="E29" s="295">
        <v>160</v>
      </c>
      <c r="F29" s="295">
        <f t="shared" si="0"/>
        <v>131.5</v>
      </c>
      <c r="G29" s="296">
        <f t="shared" si="1"/>
        <v>0.030912082745651152</v>
      </c>
      <c r="H29" s="297"/>
      <c r="I29" s="298"/>
      <c r="J29" s="298"/>
      <c r="K29" s="298"/>
      <c r="M29" s="300"/>
    </row>
    <row r="30" spans="1:13" s="299" customFormat="1" ht="13.5" customHeight="1" hidden="1">
      <c r="A30" s="301">
        <v>15.3</v>
      </c>
      <c r="B30" s="294" t="s">
        <v>186</v>
      </c>
      <c r="C30" s="295">
        <v>40683181</v>
      </c>
      <c r="D30" s="295">
        <v>1206182269</v>
      </c>
      <c r="E30" s="295">
        <v>1171351480</v>
      </c>
      <c r="F30" s="295">
        <f t="shared" si="0"/>
        <v>1188766874.5</v>
      </c>
      <c r="G30" s="296">
        <f t="shared" si="1"/>
        <v>29.220106326002384</v>
      </c>
      <c r="H30" s="297"/>
      <c r="I30" s="298"/>
      <c r="J30" s="298"/>
      <c r="K30" s="298"/>
      <c r="M30" s="300"/>
    </row>
    <row r="31" spans="1:13" s="299" customFormat="1" ht="13.5" customHeight="1" hidden="1">
      <c r="A31" s="301">
        <v>15.4</v>
      </c>
      <c r="B31" s="294" t="s">
        <v>187</v>
      </c>
      <c r="C31" s="295">
        <v>5868147</v>
      </c>
      <c r="D31" s="295">
        <v>3535050</v>
      </c>
      <c r="E31" s="295">
        <v>3356447</v>
      </c>
      <c r="F31" s="295">
        <f t="shared" si="0"/>
        <v>3445748.5</v>
      </c>
      <c r="G31" s="296">
        <f t="shared" si="1"/>
        <v>0.5871953275880785</v>
      </c>
      <c r="H31" s="297"/>
      <c r="I31" s="298"/>
      <c r="J31" s="298"/>
      <c r="K31" s="298"/>
      <c r="M31" s="300"/>
    </row>
    <row r="32" spans="1:13" s="299" customFormat="1" ht="13.5" customHeight="1" hidden="1">
      <c r="A32" s="301">
        <v>15.5</v>
      </c>
      <c r="B32" s="294" t="s">
        <v>188</v>
      </c>
      <c r="C32" s="295">
        <v>-5086458</v>
      </c>
      <c r="D32" s="295">
        <v>12036315</v>
      </c>
      <c r="E32" s="295">
        <v>6024666</v>
      </c>
      <c r="F32" s="295">
        <f t="shared" si="0"/>
        <v>9030490.5</v>
      </c>
      <c r="G32" s="296">
        <f t="shared" si="1"/>
        <v>-1.7753986172696206</v>
      </c>
      <c r="H32" s="297"/>
      <c r="I32" s="298"/>
      <c r="J32" s="298"/>
      <c r="K32" s="298"/>
      <c r="M32" s="300"/>
    </row>
    <row r="33" spans="1:13" s="299" customFormat="1" ht="13.5" customHeight="1" hidden="1">
      <c r="A33" s="301">
        <v>15.6</v>
      </c>
      <c r="B33" s="294" t="s">
        <v>189</v>
      </c>
      <c r="C33" s="295">
        <v>0</v>
      </c>
      <c r="D33" s="295">
        <v>0</v>
      </c>
      <c r="E33" s="295">
        <v>0</v>
      </c>
      <c r="F33" s="295"/>
      <c r="G33" s="296">
        <f>IF(C33=0,0,+F33/C33)</f>
        <v>0</v>
      </c>
      <c r="H33" s="297"/>
      <c r="I33" s="298"/>
      <c r="J33" s="298"/>
      <c r="K33" s="298"/>
      <c r="M33" s="300"/>
    </row>
    <row r="34" spans="1:13" s="299" customFormat="1" ht="13.5" customHeight="1" hidden="1">
      <c r="A34" s="301">
        <v>15.7</v>
      </c>
      <c r="B34" s="294" t="s">
        <v>190</v>
      </c>
      <c r="C34" s="295">
        <v>53114424</v>
      </c>
      <c r="D34" s="295">
        <v>12001288</v>
      </c>
      <c r="E34" s="295">
        <v>10710638</v>
      </c>
      <c r="F34" s="295">
        <f aca="true" t="shared" si="2" ref="F34:F59">(D34+E34)/2</f>
        <v>11355963</v>
      </c>
      <c r="G34" s="296">
        <f>F34/C34</f>
        <v>0.21380186670197157</v>
      </c>
      <c r="H34" s="297"/>
      <c r="I34" s="298"/>
      <c r="J34" s="298"/>
      <c r="K34" s="298"/>
      <c r="M34" s="300"/>
    </row>
    <row r="35" spans="1:13" s="299" customFormat="1" ht="13.5" customHeight="1" hidden="1">
      <c r="A35" s="301">
        <v>15.8</v>
      </c>
      <c r="B35" s="294" t="s">
        <v>191</v>
      </c>
      <c r="C35" s="295">
        <v>0</v>
      </c>
      <c r="D35" s="295">
        <v>0</v>
      </c>
      <c r="E35" s="295">
        <v>0</v>
      </c>
      <c r="F35" s="295">
        <f t="shared" si="2"/>
        <v>0</v>
      </c>
      <c r="G35" s="296">
        <f>IF(C35=0,0,+F35/C35)</f>
        <v>0</v>
      </c>
      <c r="H35" s="297"/>
      <c r="I35" s="298"/>
      <c r="J35" s="298"/>
      <c r="K35" s="298"/>
      <c r="M35" s="300"/>
    </row>
    <row r="36" spans="1:13" s="299" customFormat="1" ht="13.5" customHeight="1" hidden="1">
      <c r="A36" s="301">
        <v>16</v>
      </c>
      <c r="B36" s="294" t="s">
        <v>192</v>
      </c>
      <c r="C36" s="295">
        <v>10147768447</v>
      </c>
      <c r="D36" s="295">
        <v>3215534087</v>
      </c>
      <c r="E36" s="295">
        <v>3256104603</v>
      </c>
      <c r="F36" s="295">
        <f t="shared" si="2"/>
        <v>3235819345</v>
      </c>
      <c r="G36" s="296">
        <f aca="true" t="shared" si="3" ref="G36:G62">F36/C36</f>
        <v>0.3188700414184766</v>
      </c>
      <c r="H36" s="297"/>
      <c r="I36" s="298"/>
      <c r="J36" s="298"/>
      <c r="K36" s="298"/>
      <c r="M36" s="300"/>
    </row>
    <row r="37" spans="1:13" s="299" customFormat="1" ht="13.5" customHeight="1">
      <c r="A37" s="301">
        <v>17</v>
      </c>
      <c r="B37" s="294" t="s">
        <v>74</v>
      </c>
      <c r="C37" s="295">
        <f>+C38+C39</f>
        <v>10705942383</v>
      </c>
      <c r="D37" s="295">
        <f>+D38+D39</f>
        <v>6980215110</v>
      </c>
      <c r="E37" s="295">
        <f>+E38+E39</f>
        <v>5789180735</v>
      </c>
      <c r="F37" s="295">
        <f t="shared" si="2"/>
        <v>6384697922.5</v>
      </c>
      <c r="G37" s="296">
        <f t="shared" si="3"/>
        <v>0.5963695389056345</v>
      </c>
      <c r="H37" s="304" t="s">
        <v>44</v>
      </c>
      <c r="M37" s="300" t="s">
        <v>44</v>
      </c>
    </row>
    <row r="38" spans="1:13" s="299" customFormat="1" ht="13.5" customHeight="1">
      <c r="A38" s="301">
        <v>17.1</v>
      </c>
      <c r="B38" s="294" t="s">
        <v>193</v>
      </c>
      <c r="C38" s="295">
        <v>5816839615</v>
      </c>
      <c r="D38" s="295">
        <v>3441277732</v>
      </c>
      <c r="E38" s="295">
        <v>3139751220</v>
      </c>
      <c r="F38" s="295">
        <f t="shared" si="2"/>
        <v>3290514476</v>
      </c>
      <c r="G38" s="296">
        <f t="shared" si="3"/>
        <v>0.5656876747150953</v>
      </c>
      <c r="H38" s="297"/>
      <c r="I38" s="298"/>
      <c r="J38" s="298"/>
      <c r="K38" s="298"/>
      <c r="M38" s="300" t="s">
        <v>44</v>
      </c>
    </row>
    <row r="39" spans="1:13" s="299" customFormat="1" ht="13.5" customHeight="1">
      <c r="A39" s="301">
        <v>17.2</v>
      </c>
      <c r="B39" s="294" t="s">
        <v>194</v>
      </c>
      <c r="C39" s="295">
        <v>4889102768</v>
      </c>
      <c r="D39" s="295">
        <v>3538937378</v>
      </c>
      <c r="E39" s="295">
        <v>2649429515</v>
      </c>
      <c r="F39" s="295">
        <f t="shared" si="2"/>
        <v>3094183446.5</v>
      </c>
      <c r="G39" s="296">
        <f t="shared" si="3"/>
        <v>0.632873472562686</v>
      </c>
      <c r="H39" s="297"/>
      <c r="I39" s="298"/>
      <c r="J39" s="298"/>
      <c r="K39" s="298"/>
      <c r="M39" s="300" t="s">
        <v>44</v>
      </c>
    </row>
    <row r="40" spans="1:13" s="299" customFormat="1" ht="13.5" customHeight="1" hidden="1">
      <c r="A40" s="301">
        <v>17.3</v>
      </c>
      <c r="B40" s="294" t="s">
        <v>195</v>
      </c>
      <c r="C40" s="295">
        <v>205724260</v>
      </c>
      <c r="D40" s="295">
        <v>81316512</v>
      </c>
      <c r="E40" s="295">
        <v>84201635</v>
      </c>
      <c r="F40" s="295">
        <f t="shared" si="2"/>
        <v>82759073.5</v>
      </c>
      <c r="G40" s="296">
        <f t="shared" si="3"/>
        <v>0.4022815466683414</v>
      </c>
      <c r="H40" s="297"/>
      <c r="M40" s="300"/>
    </row>
    <row r="41" spans="1:13" s="299" customFormat="1" ht="13.5" customHeight="1">
      <c r="A41" s="301">
        <v>18</v>
      </c>
      <c r="B41" s="294" t="s">
        <v>80</v>
      </c>
      <c r="C41" s="295">
        <v>606092123</v>
      </c>
      <c r="D41" s="295">
        <v>308729609</v>
      </c>
      <c r="E41" s="295">
        <v>303110821</v>
      </c>
      <c r="F41" s="295">
        <f t="shared" si="2"/>
        <v>305920215</v>
      </c>
      <c r="G41" s="296">
        <f t="shared" si="3"/>
        <v>0.5047421066714639</v>
      </c>
      <c r="H41" s="297"/>
      <c r="I41" s="305" t="s">
        <v>177</v>
      </c>
      <c r="J41" s="305" t="s">
        <v>178</v>
      </c>
      <c r="K41" s="305" t="s">
        <v>179</v>
      </c>
      <c r="M41" s="300" t="s">
        <v>44</v>
      </c>
    </row>
    <row r="42" spans="1:13" s="299" customFormat="1" ht="13.5" customHeight="1">
      <c r="A42" s="301">
        <v>18.1</v>
      </c>
      <c r="B42" s="294" t="s">
        <v>196</v>
      </c>
      <c r="C42" s="295">
        <f>C41*(I42/(I42+I43))</f>
        <v>505943044.4338314</v>
      </c>
      <c r="D42" s="295">
        <f>D41*(J42/(J42+J43))</f>
        <v>258607289.072919</v>
      </c>
      <c r="E42" s="295">
        <f>E41*(K42/(K42+K43))</f>
        <v>256301707.9973782</v>
      </c>
      <c r="F42" s="295">
        <f t="shared" si="2"/>
        <v>257454498.53514862</v>
      </c>
      <c r="G42" s="296">
        <f t="shared" si="3"/>
        <v>0.5088606343491677</v>
      </c>
      <c r="H42" s="304" t="s">
        <v>44</v>
      </c>
      <c r="I42" s="306">
        <v>2642800</v>
      </c>
      <c r="J42" s="307">
        <v>1409458</v>
      </c>
      <c r="K42" s="308">
        <v>1362619</v>
      </c>
      <c r="M42" s="300" t="s">
        <v>44</v>
      </c>
    </row>
    <row r="43" spans="1:13" s="299" customFormat="1" ht="13.5" customHeight="1">
      <c r="A43" s="301">
        <v>18.2</v>
      </c>
      <c r="B43" s="294" t="s">
        <v>197</v>
      </c>
      <c r="C43" s="295">
        <f>C41-C42</f>
        <v>100149078.5661686</v>
      </c>
      <c r="D43" s="295">
        <f>D41-D42</f>
        <v>50122319.92708099</v>
      </c>
      <c r="E43" s="295">
        <f>E41-E42</f>
        <v>46809113.0026218</v>
      </c>
      <c r="F43" s="295">
        <f t="shared" si="2"/>
        <v>48465716.464851394</v>
      </c>
      <c r="G43" s="296">
        <f t="shared" si="3"/>
        <v>0.48393572021563874</v>
      </c>
      <c r="H43" s="304" t="s">
        <v>44</v>
      </c>
      <c r="I43" s="309">
        <v>523130</v>
      </c>
      <c r="J43" s="310">
        <v>273176</v>
      </c>
      <c r="K43" s="311">
        <v>248859</v>
      </c>
      <c r="M43" s="300" t="s">
        <v>44</v>
      </c>
    </row>
    <row r="44" spans="1:13" s="299" customFormat="1" ht="13.5" customHeight="1" hidden="1">
      <c r="A44" s="301">
        <v>19.1</v>
      </c>
      <c r="B44" s="294" t="s">
        <v>198</v>
      </c>
      <c r="C44" s="295">
        <v>-60409</v>
      </c>
      <c r="D44" s="295">
        <v>1244</v>
      </c>
      <c r="E44" s="295">
        <v>713</v>
      </c>
      <c r="F44" s="295">
        <f t="shared" si="2"/>
        <v>978.5</v>
      </c>
      <c r="G44" s="296">
        <f t="shared" si="3"/>
        <v>-0.01619791752884504</v>
      </c>
      <c r="H44" s="297"/>
      <c r="I44" s="298"/>
      <c r="J44" s="298"/>
      <c r="K44" s="298"/>
      <c r="M44" s="300"/>
    </row>
    <row r="45" spans="1:13" s="299" customFormat="1" ht="13.5" customHeight="1">
      <c r="A45" s="301" t="s">
        <v>85</v>
      </c>
      <c r="B45" s="294" t="s">
        <v>86</v>
      </c>
      <c r="C45" s="295">
        <f>+C46+C50</f>
        <v>30387697176</v>
      </c>
      <c r="D45" s="295">
        <f>+D46+D50</f>
        <v>10057639618</v>
      </c>
      <c r="E45" s="295">
        <f>+E46+E50</f>
        <v>10135215956</v>
      </c>
      <c r="F45" s="295">
        <f t="shared" si="2"/>
        <v>10096427787</v>
      </c>
      <c r="G45" s="296">
        <f t="shared" si="3"/>
        <v>0.33225379759852586</v>
      </c>
      <c r="H45" s="304" t="s">
        <v>44</v>
      </c>
      <c r="I45" s="281"/>
      <c r="J45" s="281"/>
      <c r="K45" s="281"/>
      <c r="M45" s="300" t="s">
        <v>44</v>
      </c>
    </row>
    <row r="46" spans="1:13" s="299" customFormat="1" ht="13.5" customHeight="1">
      <c r="A46" s="301">
        <v>19.2</v>
      </c>
      <c r="B46" s="294" t="s">
        <v>88</v>
      </c>
      <c r="C46" s="295">
        <v>17416504550</v>
      </c>
      <c r="D46" s="295">
        <v>5693733410</v>
      </c>
      <c r="E46" s="295">
        <v>5795638434</v>
      </c>
      <c r="F46" s="295">
        <f t="shared" si="2"/>
        <v>5744685922</v>
      </c>
      <c r="G46" s="296">
        <f t="shared" si="3"/>
        <v>0.329841496352378</v>
      </c>
      <c r="H46" s="297"/>
      <c r="I46" s="281"/>
      <c r="J46" s="281"/>
      <c r="K46" s="281"/>
      <c r="M46" s="300" t="s">
        <v>44</v>
      </c>
    </row>
    <row r="47" spans="1:13" s="299" customFormat="1" ht="13.5" customHeight="1" hidden="1">
      <c r="A47" s="301">
        <v>19.3</v>
      </c>
      <c r="B47" s="294" t="s">
        <v>199</v>
      </c>
      <c r="C47" s="295">
        <v>5243803</v>
      </c>
      <c r="D47" s="295">
        <v>7212901</v>
      </c>
      <c r="E47" s="295">
        <v>5675723</v>
      </c>
      <c r="F47" s="295">
        <f t="shared" si="2"/>
        <v>6444312</v>
      </c>
      <c r="G47" s="296">
        <f t="shared" si="3"/>
        <v>1.2289386157336575</v>
      </c>
      <c r="H47" s="297"/>
      <c r="I47" s="298"/>
      <c r="J47" s="298"/>
      <c r="K47" s="298"/>
      <c r="M47" s="300"/>
    </row>
    <row r="48" spans="1:13" s="299" customFormat="1" ht="13.5" customHeight="1">
      <c r="A48" s="301" t="s">
        <v>89</v>
      </c>
      <c r="B48" s="294" t="s">
        <v>90</v>
      </c>
      <c r="C48" s="295">
        <f>+C49+C51</f>
        <v>5088883830</v>
      </c>
      <c r="D48" s="295">
        <f>+D49+D51</f>
        <v>2315609052</v>
      </c>
      <c r="E48" s="295">
        <f>+E49+E51</f>
        <v>2473337409</v>
      </c>
      <c r="F48" s="295">
        <f t="shared" si="2"/>
        <v>2394473230.5</v>
      </c>
      <c r="G48" s="296">
        <f t="shared" si="3"/>
        <v>0.47053014187199477</v>
      </c>
      <c r="H48" s="304" t="s">
        <v>44</v>
      </c>
      <c r="I48" s="298"/>
      <c r="J48" s="298"/>
      <c r="K48" s="298"/>
      <c r="M48" s="300" t="s">
        <v>44</v>
      </c>
    </row>
    <row r="49" spans="1:13" s="299" customFormat="1" ht="13.5" customHeight="1">
      <c r="A49" s="301">
        <v>19.4</v>
      </c>
      <c r="B49" s="294" t="s">
        <v>92</v>
      </c>
      <c r="C49" s="295">
        <v>4049823829</v>
      </c>
      <c r="D49" s="295">
        <v>1840096641</v>
      </c>
      <c r="E49" s="295">
        <v>1998970361</v>
      </c>
      <c r="F49" s="295">
        <f t="shared" si="2"/>
        <v>1919533501</v>
      </c>
      <c r="G49" s="296">
        <f t="shared" si="3"/>
        <v>0.4739795067762193</v>
      </c>
      <c r="H49" s="297"/>
      <c r="I49" s="312" t="s">
        <v>200</v>
      </c>
      <c r="J49" s="298"/>
      <c r="K49" s="298"/>
      <c r="M49" s="300" t="s">
        <v>44</v>
      </c>
    </row>
    <row r="50" spans="1:13" s="299" customFormat="1" ht="13.5" customHeight="1">
      <c r="A50" s="301">
        <v>21.1</v>
      </c>
      <c r="B50" s="294" t="s">
        <v>94</v>
      </c>
      <c r="C50" s="295">
        <v>12971192626</v>
      </c>
      <c r="D50" s="295">
        <v>4363906208</v>
      </c>
      <c r="E50" s="295">
        <v>4339577522</v>
      </c>
      <c r="F50" s="295">
        <f t="shared" si="2"/>
        <v>4351741865</v>
      </c>
      <c r="G50" s="296">
        <f t="shared" si="3"/>
        <v>0.33549281014277643</v>
      </c>
      <c r="H50" s="297"/>
      <c r="I50" s="313" t="s">
        <v>201</v>
      </c>
      <c r="J50" s="314"/>
      <c r="K50" s="298"/>
      <c r="M50" s="300" t="s">
        <v>44</v>
      </c>
    </row>
    <row r="51" spans="1:13" s="299" customFormat="1" ht="13.5" customHeight="1">
      <c r="A51" s="301">
        <v>21.2</v>
      </c>
      <c r="B51" s="294" t="s">
        <v>96</v>
      </c>
      <c r="C51" s="295">
        <v>1039060001</v>
      </c>
      <c r="D51" s="295">
        <v>475512411</v>
      </c>
      <c r="E51" s="295">
        <v>474367048</v>
      </c>
      <c r="F51" s="295">
        <f t="shared" si="2"/>
        <v>474939729.5</v>
      </c>
      <c r="G51" s="296">
        <f t="shared" si="3"/>
        <v>0.457085951766899</v>
      </c>
      <c r="H51" s="297"/>
      <c r="I51" s="313" t="s">
        <v>202</v>
      </c>
      <c r="J51" s="314"/>
      <c r="K51" s="298"/>
      <c r="M51" s="300" t="s">
        <v>44</v>
      </c>
    </row>
    <row r="52" spans="1:13" s="299" customFormat="1" ht="13.5" customHeight="1">
      <c r="A52" s="301">
        <v>22</v>
      </c>
      <c r="B52" s="294" t="s">
        <v>98</v>
      </c>
      <c r="C52" s="295">
        <v>200968974</v>
      </c>
      <c r="D52" s="295">
        <v>82240835</v>
      </c>
      <c r="E52" s="295">
        <v>71037769</v>
      </c>
      <c r="F52" s="295">
        <f t="shared" si="2"/>
        <v>76639302</v>
      </c>
      <c r="G52" s="296">
        <f t="shared" si="3"/>
        <v>0.3813489240383941</v>
      </c>
      <c r="H52" s="297"/>
      <c r="I52" s="313" t="s">
        <v>203</v>
      </c>
      <c r="J52" s="314"/>
      <c r="K52" s="298"/>
      <c r="M52" s="300" t="s">
        <v>44</v>
      </c>
    </row>
    <row r="53" spans="1:13" s="299" customFormat="1" ht="13.5" customHeight="1">
      <c r="A53" s="301">
        <v>23</v>
      </c>
      <c r="B53" s="294" t="s">
        <v>101</v>
      </c>
      <c r="C53" s="295">
        <v>141957214</v>
      </c>
      <c r="D53" s="295">
        <v>84516311</v>
      </c>
      <c r="E53" s="295">
        <v>82121143</v>
      </c>
      <c r="F53" s="295">
        <f t="shared" si="2"/>
        <v>83318727</v>
      </c>
      <c r="G53" s="296">
        <f t="shared" si="3"/>
        <v>0.5869284459189231</v>
      </c>
      <c r="H53" s="297"/>
      <c r="I53" s="313" t="s">
        <v>204</v>
      </c>
      <c r="J53" s="314"/>
      <c r="K53" s="298"/>
      <c r="M53" s="300" t="s">
        <v>44</v>
      </c>
    </row>
    <row r="54" spans="1:13" s="299" customFormat="1" ht="13.5" customHeight="1">
      <c r="A54" s="301">
        <v>24</v>
      </c>
      <c r="B54" s="294" t="s">
        <v>103</v>
      </c>
      <c r="C54" s="295">
        <v>903096459</v>
      </c>
      <c r="D54" s="295">
        <v>550278103</v>
      </c>
      <c r="E54" s="295">
        <v>536289303</v>
      </c>
      <c r="F54" s="295">
        <f t="shared" si="2"/>
        <v>543283703</v>
      </c>
      <c r="G54" s="296">
        <f t="shared" si="3"/>
        <v>0.6015788209396578</v>
      </c>
      <c r="H54" s="297"/>
      <c r="I54" s="298"/>
      <c r="J54" s="298"/>
      <c r="K54" s="298"/>
      <c r="M54" s="300" t="s">
        <v>44</v>
      </c>
    </row>
    <row r="55" spans="1:13" s="299" customFormat="1" ht="13.5" customHeight="1">
      <c r="A55" s="301">
        <v>26</v>
      </c>
      <c r="B55" s="294" t="s">
        <v>141</v>
      </c>
      <c r="C55" s="295">
        <v>52613090</v>
      </c>
      <c r="D55" s="295">
        <v>29692263</v>
      </c>
      <c r="E55" s="295">
        <v>27166320</v>
      </c>
      <c r="F55" s="295">
        <f t="shared" si="2"/>
        <v>28429291.5</v>
      </c>
      <c r="G55" s="296">
        <f t="shared" si="3"/>
        <v>0.5403463567716703</v>
      </c>
      <c r="H55" s="297"/>
      <c r="I55" s="298"/>
      <c r="J55" s="298"/>
      <c r="K55" s="298"/>
      <c r="M55" s="300" t="s">
        <v>44</v>
      </c>
    </row>
    <row r="56" spans="1:13" s="299" customFormat="1" ht="13.5" customHeight="1">
      <c r="A56" s="301">
        <v>27</v>
      </c>
      <c r="B56" s="294" t="s">
        <v>108</v>
      </c>
      <c r="C56" s="295">
        <v>150734262</v>
      </c>
      <c r="D56" s="295">
        <v>87080646</v>
      </c>
      <c r="E56" s="295">
        <v>74383953</v>
      </c>
      <c r="F56" s="295">
        <f t="shared" si="2"/>
        <v>80732299.5</v>
      </c>
      <c r="G56" s="296">
        <f t="shared" si="3"/>
        <v>0.5355935566925056</v>
      </c>
      <c r="H56" s="297"/>
      <c r="I56" s="298"/>
      <c r="J56" s="298"/>
      <c r="K56" s="298"/>
      <c r="M56" s="300" t="s">
        <v>44</v>
      </c>
    </row>
    <row r="57" spans="1:13" s="299" customFormat="1" ht="13.5" customHeight="1">
      <c r="A57" s="301">
        <v>28</v>
      </c>
      <c r="B57" s="294" t="s">
        <v>110</v>
      </c>
      <c r="C57" s="295">
        <v>157113561</v>
      </c>
      <c r="D57" s="295">
        <v>70688937</v>
      </c>
      <c r="E57" s="295">
        <v>62878740</v>
      </c>
      <c r="F57" s="295">
        <f t="shared" si="2"/>
        <v>66783838.5</v>
      </c>
      <c r="G57" s="296">
        <f t="shared" si="3"/>
        <v>0.42506730848013813</v>
      </c>
      <c r="H57" s="297"/>
      <c r="I57" s="298"/>
      <c r="J57" s="298"/>
      <c r="K57" s="298"/>
      <c r="M57" s="300" t="s">
        <v>44</v>
      </c>
    </row>
    <row r="58" spans="1:13" s="299" customFormat="1" ht="13.5" customHeight="1" hidden="1">
      <c r="A58" s="301">
        <v>29</v>
      </c>
      <c r="B58" s="294" t="s">
        <v>205</v>
      </c>
      <c r="C58" s="295">
        <v>32581</v>
      </c>
      <c r="D58" s="295">
        <v>2198</v>
      </c>
      <c r="E58" s="295">
        <v>21502</v>
      </c>
      <c r="F58" s="295">
        <f>(D58+E58)/2</f>
        <v>11850</v>
      </c>
      <c r="G58" s="296">
        <f>F58/C58</f>
        <v>0.3637089101009791</v>
      </c>
      <c r="H58" s="297"/>
      <c r="I58" s="298"/>
      <c r="J58" s="298"/>
      <c r="K58" s="298"/>
      <c r="M58" s="300"/>
    </row>
    <row r="59" spans="1:13" s="299" customFormat="1" ht="13.5" customHeight="1">
      <c r="A59" s="301">
        <v>30</v>
      </c>
      <c r="B59" s="294" t="s">
        <v>112</v>
      </c>
      <c r="C59" s="295">
        <v>186694064</v>
      </c>
      <c r="D59" s="295">
        <v>356784304</v>
      </c>
      <c r="E59" s="295">
        <v>353592567</v>
      </c>
      <c r="F59" s="295">
        <f t="shared" si="2"/>
        <v>355188435.5</v>
      </c>
      <c r="G59" s="296">
        <f t="shared" si="3"/>
        <v>1.9025159551939477</v>
      </c>
      <c r="H59" s="297"/>
      <c r="I59" s="298"/>
      <c r="J59" s="298"/>
      <c r="K59" s="298"/>
      <c r="M59" s="300" t="s">
        <v>44</v>
      </c>
    </row>
    <row r="60" spans="1:13" s="299" customFormat="1" ht="13.5" customHeight="1">
      <c r="A60" s="301">
        <v>34</v>
      </c>
      <c r="B60" s="294" t="s">
        <v>114</v>
      </c>
      <c r="C60" s="295">
        <v>100479228</v>
      </c>
      <c r="D60" s="295">
        <v>35401550</v>
      </c>
      <c r="E60" s="295">
        <v>38240883</v>
      </c>
      <c r="F60" s="295">
        <f>(D60+E60)/2</f>
        <v>36821216.5</v>
      </c>
      <c r="G60" s="296">
        <f t="shared" si="3"/>
        <v>0.3664560052153267</v>
      </c>
      <c r="H60" s="297"/>
      <c r="I60" s="298"/>
      <c r="J60" s="298"/>
      <c r="K60" s="298"/>
      <c r="M60" s="300" t="s">
        <v>44</v>
      </c>
    </row>
    <row r="61" spans="1:13" s="299" customFormat="1" ht="13.5" customHeight="1" hidden="1">
      <c r="A61" s="301">
        <v>35</v>
      </c>
      <c r="B61" s="294" t="s">
        <v>206</v>
      </c>
      <c r="C61" s="295">
        <v>85586982128</v>
      </c>
      <c r="D61" s="295">
        <v>38949940474</v>
      </c>
      <c r="E61" s="295">
        <v>37033880128</v>
      </c>
      <c r="F61" s="295">
        <f>(D61+E61)/2</f>
        <v>37991910301</v>
      </c>
      <c r="G61" s="296">
        <f t="shared" si="3"/>
        <v>0.44389823494630326</v>
      </c>
      <c r="H61" s="297"/>
      <c r="I61" s="298"/>
      <c r="J61" s="298"/>
      <c r="K61" s="298"/>
      <c r="M61" s="300"/>
    </row>
    <row r="62" spans="1:13" s="299" customFormat="1" ht="13.5" customHeight="1">
      <c r="A62" s="301"/>
      <c r="B62" s="294" t="s">
        <v>207</v>
      </c>
      <c r="C62" s="295">
        <f>+C7+C8+C11+C12+C13+C14+C16+C17+C20+C23+C24+C25+C38+C39+C42+C43+C46+C49+C50+C51+C52+C53+C54+C55+C56+C57+C59+C60</f>
        <v>73043108157</v>
      </c>
      <c r="D62" s="295">
        <f>+D7+D8+D11+D12+D13+D14+D16+D17+D20+D23+D24+D25+D38+D39+D42+D43+D46+D49+D50+D51+D52+D53+D54+D55+D56+D57+D59+D60</f>
        <v>32973601665</v>
      </c>
      <c r="E62" s="295">
        <f>+E7+E8+E11+E12+E13+E14+E16+E17+E20+E23+E24+E25+E38+E39+E42+E43+E46+E49+E50+E51+E52+E53+E54+E55+E56+E57+E59+E60</f>
        <v>30981749032</v>
      </c>
      <c r="F62" s="295">
        <f>(D62+E62)/2</f>
        <v>31977675348.5</v>
      </c>
      <c r="G62" s="296">
        <f t="shared" si="3"/>
        <v>0.4377918212320139</v>
      </c>
      <c r="H62" s="304" t="s">
        <v>44</v>
      </c>
      <c r="I62" s="298"/>
      <c r="J62" s="298"/>
      <c r="K62" s="298"/>
      <c r="M62" s="300" t="s">
        <v>44</v>
      </c>
    </row>
    <row r="63" ht="15.75">
      <c r="E63" s="298"/>
    </row>
    <row r="65" spans="1:7" ht="15.75">
      <c r="A65" s="281"/>
      <c r="B65" s="281"/>
      <c r="C65" s="281"/>
      <c r="D65" s="281"/>
      <c r="E65" s="281"/>
      <c r="F65" s="281"/>
      <c r="G65" s="281"/>
    </row>
    <row r="66" spans="1:7" ht="15.75">
      <c r="A66" s="281"/>
      <c r="B66" s="281"/>
      <c r="C66" s="281"/>
      <c r="D66" s="281"/>
      <c r="E66" s="281"/>
      <c r="F66" s="281"/>
      <c r="G66" s="281"/>
    </row>
    <row r="67" spans="1:7" ht="15.75">
      <c r="A67" s="281"/>
      <c r="B67" s="281"/>
      <c r="C67" s="281"/>
      <c r="D67" s="281"/>
      <c r="E67" s="281"/>
      <c r="F67" s="281"/>
      <c r="G67" s="281"/>
    </row>
  </sheetData>
  <sheetProtection/>
  <mergeCells count="2">
    <mergeCell ref="A1:G1"/>
    <mergeCell ref="A2:G2"/>
  </mergeCells>
  <printOptions horizontalCentered="1"/>
  <pageMargins left="0.25" right="0.25" top="1" bottom="0.25" header="0.5" footer="0.5"/>
  <pageSetup fitToHeight="1" fitToWidth="1" horizontalDpi="600" verticalDpi="600" orientation="landscape" scale="78" r:id="rId3"/>
  <headerFooter alignWithMargins="0">
    <oddFooter>&amp;LCalifornia Department of Insurance&amp;RRate Specialist Bureau - 9/15/2021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SheetLayoutView="103" zoomScalePageLayoutView="0" workbookViewId="0" topLeftCell="A1">
      <pane xSplit="2" ySplit="6" topLeftCell="C7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E1"/>
    </sheetView>
  </sheetViews>
  <sheetFormatPr defaultColWidth="9.140625" defaultRowHeight="12.75"/>
  <cols>
    <col min="1" max="1" width="14.140625" style="355" customWidth="1"/>
    <col min="2" max="2" width="28.8515625" style="356" customWidth="1"/>
    <col min="3" max="4" width="18.421875" style="358" customWidth="1"/>
    <col min="5" max="5" width="19.140625" style="358" customWidth="1"/>
    <col min="6" max="6" width="9.140625" style="358" hidden="1" customWidth="1"/>
    <col min="7" max="7" width="9.140625" style="321" hidden="1" customWidth="1"/>
    <col min="8" max="8" width="9.140625" style="356" customWidth="1"/>
    <col min="9" max="9" width="9.140625" style="356" hidden="1" customWidth="1"/>
    <col min="10" max="16384" width="9.140625" style="356" customWidth="1"/>
  </cols>
  <sheetData>
    <row r="1" spans="1:7" s="322" customFormat="1" ht="24.75" customHeight="1">
      <c r="A1" s="403" t="s">
        <v>208</v>
      </c>
      <c r="B1" s="403"/>
      <c r="C1" s="403"/>
      <c r="D1" s="403"/>
      <c r="E1" s="403"/>
      <c r="F1" s="320"/>
      <c r="G1" s="321"/>
    </row>
    <row r="2" spans="1:7" s="322" customFormat="1" ht="19.5" customHeight="1">
      <c r="A2" s="320"/>
      <c r="B2" s="320"/>
      <c r="C2" s="320"/>
      <c r="D2" s="320"/>
      <c r="E2" s="320"/>
      <c r="F2" s="320"/>
      <c r="G2" s="321"/>
    </row>
    <row r="3" spans="1:7" s="322" customFormat="1" ht="19.5" customHeight="1" thickBot="1">
      <c r="A3" s="320"/>
      <c r="B3" s="320"/>
      <c r="C3" s="323"/>
      <c r="D3" s="281"/>
      <c r="E3" s="320"/>
      <c r="F3" s="320"/>
      <c r="G3" s="321"/>
    </row>
    <row r="4" spans="1:7" s="329" customFormat="1" ht="14.25" customHeight="1">
      <c r="A4" s="324"/>
      <c r="B4" s="325"/>
      <c r="C4" s="326" t="s">
        <v>209</v>
      </c>
      <c r="D4" s="326" t="s">
        <v>210</v>
      </c>
      <c r="E4" s="404" t="s">
        <v>211</v>
      </c>
      <c r="F4" s="327"/>
      <c r="G4" s="328"/>
    </row>
    <row r="5" spans="1:7" s="329" customFormat="1" ht="14.25" customHeight="1">
      <c r="A5" s="330"/>
      <c r="B5" s="331" t="s">
        <v>18</v>
      </c>
      <c r="C5" s="332" t="s">
        <v>164</v>
      </c>
      <c r="D5" s="332" t="s">
        <v>164</v>
      </c>
      <c r="E5" s="405"/>
      <c r="F5" s="333"/>
      <c r="G5" s="328"/>
    </row>
    <row r="6" spans="1:9" s="340" customFormat="1" ht="14.25" customHeight="1" thickBot="1">
      <c r="A6" s="334"/>
      <c r="B6" s="335"/>
      <c r="C6" s="336" t="s">
        <v>212</v>
      </c>
      <c r="D6" s="336" t="s">
        <v>213</v>
      </c>
      <c r="E6" s="337" t="s">
        <v>214</v>
      </c>
      <c r="F6" s="338"/>
      <c r="G6" s="339" t="s">
        <v>40</v>
      </c>
      <c r="I6" s="341" t="s">
        <v>146</v>
      </c>
    </row>
    <row r="7" spans="1:9" s="348" customFormat="1" ht="18" customHeight="1">
      <c r="A7" s="342" t="s">
        <v>41</v>
      </c>
      <c r="B7" s="343" t="s">
        <v>42</v>
      </c>
      <c r="C7" s="344">
        <v>0.505608949570672</v>
      </c>
      <c r="D7" s="344">
        <v>0.49987916017975204</v>
      </c>
      <c r="E7" s="345">
        <f>+D7-C7</f>
        <v>-0.005729789390920004</v>
      </c>
      <c r="F7" s="346"/>
      <c r="G7" s="347" t="s">
        <v>44</v>
      </c>
      <c r="I7" s="349">
        <f>+C7/D7-1</f>
        <v>0.01146234899822507</v>
      </c>
    </row>
    <row r="8" spans="1:9" s="348" customFormat="1" ht="12.75" customHeight="1">
      <c r="A8" s="350" t="s">
        <v>45</v>
      </c>
      <c r="B8" s="343" t="s">
        <v>46</v>
      </c>
      <c r="C8" s="344">
        <v>0.48402163164837886</v>
      </c>
      <c r="D8" s="344">
        <v>0.48378394701008326</v>
      </c>
      <c r="E8" s="345">
        <f aca="true" t="shared" si="0" ref="E8:E62">+D8-C8</f>
        <v>-0.00023768463829559883</v>
      </c>
      <c r="F8" s="346"/>
      <c r="G8" s="347" t="s">
        <v>44</v>
      </c>
      <c r="I8" s="349">
        <f aca="true" t="shared" si="1" ref="I8:I62">+C8/D8-1</f>
        <v>0.0004913032765236913</v>
      </c>
    </row>
    <row r="9" spans="1:9" s="348" customFormat="1" ht="12.75" customHeight="1" hidden="1">
      <c r="A9" s="350" t="s">
        <v>167</v>
      </c>
      <c r="B9" s="343" t="s">
        <v>168</v>
      </c>
      <c r="C9" s="344">
        <v>0.3177328925730448</v>
      </c>
      <c r="D9" s="344">
        <v>0.2952040371624041</v>
      </c>
      <c r="E9" s="345">
        <f t="shared" si="0"/>
        <v>-0.022528855410640702</v>
      </c>
      <c r="F9" s="346"/>
      <c r="G9" s="347"/>
      <c r="I9" s="349">
        <f t="shared" si="1"/>
        <v>0.07631621717370574</v>
      </c>
    </row>
    <row r="10" spans="1:9" s="348" customFormat="1" ht="12.75" customHeight="1" hidden="1">
      <c r="A10" s="350" t="s">
        <v>169</v>
      </c>
      <c r="B10" s="343" t="s">
        <v>170</v>
      </c>
      <c r="C10" s="344">
        <v>0.553027060350477</v>
      </c>
      <c r="D10" s="344">
        <v>0.5428319185899996</v>
      </c>
      <c r="E10" s="345">
        <f t="shared" si="0"/>
        <v>-0.010195141760477422</v>
      </c>
      <c r="F10" s="346"/>
      <c r="G10" s="347"/>
      <c r="I10" s="349">
        <f t="shared" si="1"/>
        <v>0.018781396987412213</v>
      </c>
    </row>
    <row r="11" spans="1:9" s="348" customFormat="1" ht="12.75" customHeight="1">
      <c r="A11" s="350" t="s">
        <v>47</v>
      </c>
      <c r="B11" s="343" t="s">
        <v>48</v>
      </c>
      <c r="C11" s="344">
        <v>0.04096519831558263</v>
      </c>
      <c r="D11" s="344">
        <v>0.0464244349444015</v>
      </c>
      <c r="E11" s="345">
        <f t="shared" si="0"/>
        <v>0.005459236628818871</v>
      </c>
      <c r="F11" s="346"/>
      <c r="G11" s="347" t="s">
        <v>44</v>
      </c>
      <c r="I11" s="349">
        <f t="shared" si="1"/>
        <v>-0.11759403502394639</v>
      </c>
    </row>
    <row r="12" spans="1:9" s="348" customFormat="1" ht="12.75" customHeight="1">
      <c r="A12" s="350" t="s">
        <v>49</v>
      </c>
      <c r="B12" s="343" t="s">
        <v>50</v>
      </c>
      <c r="C12" s="344">
        <v>0.5961236177816269</v>
      </c>
      <c r="D12" s="344">
        <v>0.44121180182166986</v>
      </c>
      <c r="E12" s="345">
        <f t="shared" si="0"/>
        <v>-0.15491181595995707</v>
      </c>
      <c r="F12" s="346"/>
      <c r="G12" s="347" t="s">
        <v>44</v>
      </c>
      <c r="I12" s="349">
        <f t="shared" si="1"/>
        <v>0.3511053315445305</v>
      </c>
    </row>
    <row r="13" spans="1:9" s="348" customFormat="1" ht="12.75" customHeight="1">
      <c r="A13" s="351" t="s">
        <v>51</v>
      </c>
      <c r="B13" s="343" t="s">
        <v>52</v>
      </c>
      <c r="C13" s="344">
        <v>0.47125639375129613</v>
      </c>
      <c r="D13" s="344">
        <v>0.4762655900424814</v>
      </c>
      <c r="E13" s="345">
        <f t="shared" si="0"/>
        <v>0.005009196291185292</v>
      </c>
      <c r="F13" s="346"/>
      <c r="G13" s="347" t="s">
        <v>44</v>
      </c>
      <c r="I13" s="349">
        <f t="shared" si="1"/>
        <v>-0.01051765316645803</v>
      </c>
    </row>
    <row r="14" spans="1:9" s="348" customFormat="1" ht="12.75" customHeight="1">
      <c r="A14" s="352" t="s">
        <v>53</v>
      </c>
      <c r="B14" s="343" t="s">
        <v>54</v>
      </c>
      <c r="C14" s="344">
        <v>0.5178726480594704</v>
      </c>
      <c r="D14" s="344">
        <v>0.518209285069315</v>
      </c>
      <c r="E14" s="345">
        <f t="shared" si="0"/>
        <v>0.0003366370098445426</v>
      </c>
      <c r="F14" s="346"/>
      <c r="G14" s="347" t="s">
        <v>44</v>
      </c>
      <c r="I14" s="349">
        <f t="shared" si="1"/>
        <v>-0.0006496159361550902</v>
      </c>
    </row>
    <row r="15" spans="1:9" s="348" customFormat="1" ht="12.75" customHeight="1">
      <c r="A15" s="352" t="s">
        <v>55</v>
      </c>
      <c r="B15" s="343" t="s">
        <v>56</v>
      </c>
      <c r="C15" s="344">
        <v>0.4860366632967821</v>
      </c>
      <c r="D15" s="344">
        <v>0.48838031971370827</v>
      </c>
      <c r="E15" s="345">
        <f t="shared" si="0"/>
        <v>0.0023436564169261875</v>
      </c>
      <c r="F15" s="346"/>
      <c r="G15" s="347" t="s">
        <v>44</v>
      </c>
      <c r="I15" s="349">
        <f t="shared" si="1"/>
        <v>-0.00479883468338782</v>
      </c>
    </row>
    <row r="16" spans="1:9" s="348" customFormat="1" ht="12.75" customHeight="1">
      <c r="A16" s="352" t="s">
        <v>57</v>
      </c>
      <c r="B16" s="343" t="s">
        <v>138</v>
      </c>
      <c r="C16" s="344">
        <v>0.4938778025683971</v>
      </c>
      <c r="D16" s="344">
        <v>0.48296506859491667</v>
      </c>
      <c r="E16" s="345">
        <f t="shared" si="0"/>
        <v>-0.010912733973480415</v>
      </c>
      <c r="F16" s="346"/>
      <c r="G16" s="347" t="s">
        <v>44</v>
      </c>
      <c r="I16" s="349">
        <f t="shared" si="1"/>
        <v>0.022595286249642577</v>
      </c>
    </row>
    <row r="17" spans="1:9" s="348" customFormat="1" ht="12.75" customHeight="1">
      <c r="A17" s="352" t="s">
        <v>60</v>
      </c>
      <c r="B17" s="343" t="s">
        <v>139</v>
      </c>
      <c r="C17" s="344">
        <v>0.4731365363934693</v>
      </c>
      <c r="D17" s="344">
        <v>0.4980172257046888</v>
      </c>
      <c r="E17" s="345">
        <f t="shared" si="0"/>
        <v>0.024880689311219506</v>
      </c>
      <c r="F17" s="346"/>
      <c r="G17" s="347" t="s">
        <v>44</v>
      </c>
      <c r="I17" s="349">
        <f t="shared" si="1"/>
        <v>-0.049959495429126144</v>
      </c>
    </row>
    <row r="18" spans="1:9" s="348" customFormat="1" ht="12.75" customHeight="1" hidden="1">
      <c r="A18" s="352" t="s">
        <v>171</v>
      </c>
      <c r="B18" s="343" t="s">
        <v>172</v>
      </c>
      <c r="C18" s="344">
        <v>0.5559709708540478</v>
      </c>
      <c r="D18" s="344">
        <v>0.39411408006283905</v>
      </c>
      <c r="E18" s="345">
        <f t="shared" si="0"/>
        <v>-0.16185689079120874</v>
      </c>
      <c r="F18" s="346"/>
      <c r="G18" s="347"/>
      <c r="I18" s="349">
        <f t="shared" si="1"/>
        <v>0.4106853801452657</v>
      </c>
    </row>
    <row r="19" spans="1:9" s="348" customFormat="1" ht="12.75" customHeight="1" hidden="1">
      <c r="A19" s="352" t="s">
        <v>173</v>
      </c>
      <c r="B19" s="343" t="s">
        <v>174</v>
      </c>
      <c r="C19" s="344">
        <v>0.38177196317369116</v>
      </c>
      <c r="D19" s="344">
        <v>0.38727235641183644</v>
      </c>
      <c r="E19" s="345">
        <f t="shared" si="0"/>
        <v>0.005500393238145274</v>
      </c>
      <c r="F19" s="346"/>
      <c r="G19" s="347"/>
      <c r="I19" s="349">
        <f t="shared" si="1"/>
        <v>-0.01420290693895021</v>
      </c>
    </row>
    <row r="20" spans="1:9" s="348" customFormat="1" ht="12.75" customHeight="1">
      <c r="A20" s="352" t="s">
        <v>62</v>
      </c>
      <c r="B20" s="343" t="s">
        <v>63</v>
      </c>
      <c r="C20" s="344">
        <v>0.26055678451779685</v>
      </c>
      <c r="D20" s="344">
        <v>0.27279693855486054</v>
      </c>
      <c r="E20" s="345">
        <f t="shared" si="0"/>
        <v>0.012240154037063689</v>
      </c>
      <c r="F20" s="346"/>
      <c r="G20" s="347" t="s">
        <v>44</v>
      </c>
      <c r="I20" s="349">
        <f t="shared" si="1"/>
        <v>-0.04486910337742722</v>
      </c>
    </row>
    <row r="21" spans="1:9" s="348" customFormat="1" ht="12.75" customHeight="1" hidden="1">
      <c r="A21" s="350">
        <v>10</v>
      </c>
      <c r="B21" s="343" t="s">
        <v>176</v>
      </c>
      <c r="C21" s="344">
        <v>8.082304293211143</v>
      </c>
      <c r="D21" s="344">
        <v>8.515016548520657</v>
      </c>
      <c r="E21" s="345">
        <f t="shared" si="0"/>
        <v>0.4327122553095144</v>
      </c>
      <c r="F21" s="346"/>
      <c r="G21" s="347"/>
      <c r="I21" s="349">
        <f t="shared" si="1"/>
        <v>-0.05081754719369169</v>
      </c>
    </row>
    <row r="22" spans="1:9" s="348" customFormat="1" ht="12.75" customHeight="1">
      <c r="A22" s="350">
        <v>11</v>
      </c>
      <c r="B22" s="343" t="s">
        <v>65</v>
      </c>
      <c r="C22" s="344">
        <v>0.5461836363371152</v>
      </c>
      <c r="D22" s="344">
        <v>0.5513965098272936</v>
      </c>
      <c r="E22" s="345">
        <f t="shared" si="0"/>
        <v>0.005212873490178405</v>
      </c>
      <c r="F22" s="346"/>
      <c r="G22" s="347" t="s">
        <v>44</v>
      </c>
      <c r="I22" s="349">
        <f t="shared" si="1"/>
        <v>-0.009453947200012469</v>
      </c>
    </row>
    <row r="23" spans="1:9" s="348" customFormat="1" ht="12.75" customHeight="1">
      <c r="A23" s="350">
        <v>11.1</v>
      </c>
      <c r="B23" s="343" t="s">
        <v>180</v>
      </c>
      <c r="C23" s="344">
        <v>0.6838176069412617</v>
      </c>
      <c r="D23" s="344">
        <v>0.6747692455586359</v>
      </c>
      <c r="E23" s="345">
        <f t="shared" si="0"/>
        <v>-0.00904836138262577</v>
      </c>
      <c r="F23" s="346"/>
      <c r="G23" s="347" t="s">
        <v>44</v>
      </c>
      <c r="I23" s="349">
        <f t="shared" si="1"/>
        <v>0.013409563998630025</v>
      </c>
    </row>
    <row r="24" spans="1:9" s="348" customFormat="1" ht="12.75" customHeight="1">
      <c r="A24" s="350">
        <v>11.2</v>
      </c>
      <c r="B24" s="343" t="s">
        <v>181</v>
      </c>
      <c r="C24" s="344">
        <v>0.49804853240310615</v>
      </c>
      <c r="D24" s="344">
        <v>0.5089551467841397</v>
      </c>
      <c r="E24" s="345">
        <f t="shared" si="0"/>
        <v>0.01090661438103352</v>
      </c>
      <c r="F24" s="346"/>
      <c r="G24" s="347" t="s">
        <v>44</v>
      </c>
      <c r="I24" s="349">
        <f t="shared" si="1"/>
        <v>-0.021429421531440562</v>
      </c>
    </row>
    <row r="25" spans="1:9" s="348" customFormat="1" ht="12.75" customHeight="1">
      <c r="A25" s="350">
        <v>12</v>
      </c>
      <c r="B25" s="343" t="s">
        <v>140</v>
      </c>
      <c r="C25" s="344">
        <v>0.4957842212932028</v>
      </c>
      <c r="D25" s="344">
        <v>0.4970535376438182</v>
      </c>
      <c r="E25" s="345">
        <f t="shared" si="0"/>
        <v>0.0012693163506153904</v>
      </c>
      <c r="F25" s="346"/>
      <c r="G25" s="347" t="s">
        <v>44</v>
      </c>
      <c r="I25" s="349">
        <f t="shared" si="1"/>
        <v>-0.002553681353184456</v>
      </c>
    </row>
    <row r="26" spans="1:9" s="348" customFormat="1" ht="12.75" customHeight="1" hidden="1">
      <c r="A26" s="350">
        <v>13</v>
      </c>
      <c r="B26" s="343" t="s">
        <v>182</v>
      </c>
      <c r="C26" s="344">
        <v>1.0742869300737554</v>
      </c>
      <c r="D26" s="344">
        <v>1.0313933540712392</v>
      </c>
      <c r="E26" s="345">
        <f t="shared" si="0"/>
        <v>-0.0428935760025162</v>
      </c>
      <c r="F26" s="346"/>
      <c r="G26" s="347"/>
      <c r="I26" s="349">
        <f t="shared" si="1"/>
        <v>0.04158798952233078</v>
      </c>
    </row>
    <row r="27" spans="1:9" s="348" customFormat="1" ht="12.75" customHeight="1" hidden="1">
      <c r="A27" s="350">
        <v>14</v>
      </c>
      <c r="B27" s="343" t="s">
        <v>183</v>
      </c>
      <c r="C27" s="344">
        <v>1.566866819779186</v>
      </c>
      <c r="D27" s="344">
        <v>0.594495294572644</v>
      </c>
      <c r="E27" s="345">
        <f t="shared" si="0"/>
        <v>-0.9723715252065419</v>
      </c>
      <c r="F27" s="346"/>
      <c r="G27" s="347"/>
      <c r="I27" s="349">
        <f t="shared" si="1"/>
        <v>1.6356252674893517</v>
      </c>
    </row>
    <row r="28" spans="1:9" s="348" customFormat="1" ht="12.75" customHeight="1" hidden="1">
      <c r="A28" s="350">
        <v>15.1</v>
      </c>
      <c r="B28" s="343" t="s">
        <v>184</v>
      </c>
      <c r="C28" s="344">
        <v>0.17262984900879927</v>
      </c>
      <c r="D28" s="344">
        <v>0.1585959705734827</v>
      </c>
      <c r="E28" s="345">
        <f t="shared" si="0"/>
        <v>-0.01403387843531656</v>
      </c>
      <c r="F28" s="346"/>
      <c r="G28" s="347"/>
      <c r="I28" s="349">
        <f t="shared" si="1"/>
        <v>0.08848824080820017</v>
      </c>
    </row>
    <row r="29" spans="1:9" s="348" customFormat="1" ht="12.75" customHeight="1" hidden="1">
      <c r="A29" s="350">
        <v>15.2</v>
      </c>
      <c r="B29" s="343" t="s">
        <v>185</v>
      </c>
      <c r="C29" s="344">
        <v>16.553901950975487</v>
      </c>
      <c r="D29" s="344">
        <v>0.030912082745651152</v>
      </c>
      <c r="E29" s="345">
        <f t="shared" si="0"/>
        <v>-16.522989868229836</v>
      </c>
      <c r="F29" s="346"/>
      <c r="G29" s="347"/>
      <c r="I29" s="349">
        <f t="shared" si="1"/>
        <v>534.5155809844085</v>
      </c>
    </row>
    <row r="30" spans="1:9" s="348" customFormat="1" ht="12.75" customHeight="1" hidden="1">
      <c r="A30" s="350">
        <v>15.3</v>
      </c>
      <c r="B30" s="343" t="s">
        <v>186</v>
      </c>
      <c r="C30" s="344">
        <v>27.325850916004534</v>
      </c>
      <c r="D30" s="344">
        <v>29.220106326002384</v>
      </c>
      <c r="E30" s="345">
        <f t="shared" si="0"/>
        <v>1.8942554099978501</v>
      </c>
      <c r="F30" s="346"/>
      <c r="G30" s="347"/>
      <c r="I30" s="349">
        <f t="shared" si="1"/>
        <v>-0.06482712242262412</v>
      </c>
    </row>
    <row r="31" spans="1:9" s="348" customFormat="1" ht="12.75" customHeight="1" hidden="1">
      <c r="A31" s="350">
        <v>15.4</v>
      </c>
      <c r="B31" s="343" t="s">
        <v>187</v>
      </c>
      <c r="C31" s="344">
        <v>0.5663471575827473</v>
      </c>
      <c r="D31" s="344">
        <v>0.5871953275880785</v>
      </c>
      <c r="E31" s="345">
        <f t="shared" si="0"/>
        <v>0.020848170005331124</v>
      </c>
      <c r="F31" s="346"/>
      <c r="G31" s="347"/>
      <c r="I31" s="349">
        <f t="shared" si="1"/>
        <v>-0.03550465922636947</v>
      </c>
    </row>
    <row r="32" spans="1:9" s="348" customFormat="1" ht="12.75" customHeight="1" hidden="1">
      <c r="A32" s="350">
        <v>15.5</v>
      </c>
      <c r="B32" s="343" t="s">
        <v>188</v>
      </c>
      <c r="C32" s="344">
        <v>0.46238458694294055</v>
      </c>
      <c r="D32" s="344">
        <v>-1.7753986172696206</v>
      </c>
      <c r="E32" s="345">
        <f t="shared" si="0"/>
        <v>-2.237783204212561</v>
      </c>
      <c r="F32" s="346"/>
      <c r="G32" s="347"/>
      <c r="I32" s="349">
        <f t="shared" si="1"/>
        <v>-1.260439871049376</v>
      </c>
    </row>
    <row r="33" spans="1:9" s="348" customFormat="1" ht="12.75" customHeight="1" hidden="1">
      <c r="A33" s="350">
        <v>15.6</v>
      </c>
      <c r="B33" s="343" t="s">
        <v>189</v>
      </c>
      <c r="C33" s="344">
        <v>0</v>
      </c>
      <c r="D33" s="344">
        <v>0</v>
      </c>
      <c r="E33" s="345">
        <f t="shared" si="0"/>
        <v>0</v>
      </c>
      <c r="F33" s="346"/>
      <c r="G33" s="347"/>
      <c r="I33" s="349" t="e">
        <f t="shared" si="1"/>
        <v>#DIV/0!</v>
      </c>
    </row>
    <row r="34" spans="1:9" s="348" customFormat="1" ht="12.75" customHeight="1" hidden="1">
      <c r="A34" s="350">
        <v>15.7</v>
      </c>
      <c r="B34" s="343" t="s">
        <v>190</v>
      </c>
      <c r="C34" s="344">
        <v>0.09414057556394416</v>
      </c>
      <c r="D34" s="344">
        <v>0.21380186670197157</v>
      </c>
      <c r="E34" s="345">
        <f t="shared" si="0"/>
        <v>0.11966129113802741</v>
      </c>
      <c r="F34" s="346"/>
      <c r="G34" s="347"/>
      <c r="I34" s="349">
        <f t="shared" si="1"/>
        <v>-0.5596830981126506</v>
      </c>
    </row>
    <row r="35" spans="1:9" s="348" customFormat="1" ht="12.75" customHeight="1" hidden="1">
      <c r="A35" s="350">
        <v>15.8</v>
      </c>
      <c r="B35" s="343" t="s">
        <v>191</v>
      </c>
      <c r="C35" s="344">
        <v>0</v>
      </c>
      <c r="D35" s="344">
        <v>0</v>
      </c>
      <c r="E35" s="345">
        <f t="shared" si="0"/>
        <v>0</v>
      </c>
      <c r="F35" s="346"/>
      <c r="G35" s="347"/>
      <c r="I35" s="349" t="e">
        <f t="shared" si="1"/>
        <v>#DIV/0!</v>
      </c>
    </row>
    <row r="36" spans="1:9" s="348" customFormat="1" ht="12.75" customHeight="1" hidden="1">
      <c r="A36" s="350">
        <v>16</v>
      </c>
      <c r="B36" s="343" t="s">
        <v>215</v>
      </c>
      <c r="C36" s="344">
        <v>0.2919805672802673</v>
      </c>
      <c r="D36" s="344">
        <v>0.3188700414184766</v>
      </c>
      <c r="E36" s="345">
        <f t="shared" si="0"/>
        <v>0.0268894741382093</v>
      </c>
      <c r="F36" s="346"/>
      <c r="G36" s="347"/>
      <c r="I36" s="349">
        <f t="shared" si="1"/>
        <v>-0.08432737681656421</v>
      </c>
    </row>
    <row r="37" spans="1:9" s="348" customFormat="1" ht="12.75" customHeight="1">
      <c r="A37" s="350">
        <v>17</v>
      </c>
      <c r="B37" s="343" t="s">
        <v>74</v>
      </c>
      <c r="C37" s="344">
        <v>0.5971142109448667</v>
      </c>
      <c r="D37" s="344">
        <v>0.5963695389056345</v>
      </c>
      <c r="E37" s="345">
        <f t="shared" si="0"/>
        <v>-0.0007446720392322304</v>
      </c>
      <c r="F37" s="346"/>
      <c r="G37" s="347" t="s">
        <v>44</v>
      </c>
      <c r="I37" s="349">
        <f t="shared" si="1"/>
        <v>0.001248675511829056</v>
      </c>
    </row>
    <row r="38" spans="1:9" s="348" customFormat="1" ht="12.75" customHeight="1">
      <c r="A38" s="350">
        <v>17.1</v>
      </c>
      <c r="B38" s="343" t="s">
        <v>193</v>
      </c>
      <c r="C38" s="344">
        <v>0.5474061525771114</v>
      </c>
      <c r="D38" s="344">
        <v>0.5656876747150953</v>
      </c>
      <c r="E38" s="345">
        <f t="shared" si="0"/>
        <v>0.01828152213798384</v>
      </c>
      <c r="F38" s="346"/>
      <c r="G38" s="347" t="s">
        <v>44</v>
      </c>
      <c r="I38" s="349">
        <f t="shared" si="1"/>
        <v>-0.03231734215738602</v>
      </c>
    </row>
    <row r="39" spans="1:9" s="348" customFormat="1" ht="12.75" customHeight="1">
      <c r="A39" s="350">
        <v>17.2</v>
      </c>
      <c r="B39" s="343" t="s">
        <v>194</v>
      </c>
      <c r="C39" s="344">
        <v>0.6686064721036379</v>
      </c>
      <c r="D39" s="344">
        <v>0.632873472562686</v>
      </c>
      <c r="E39" s="345">
        <f t="shared" si="0"/>
        <v>-0.03573299954095188</v>
      </c>
      <c r="F39" s="346"/>
      <c r="G39" s="347" t="s">
        <v>44</v>
      </c>
      <c r="I39" s="349">
        <f t="shared" si="1"/>
        <v>0.056461522073691484</v>
      </c>
    </row>
    <row r="40" spans="1:9" s="348" customFormat="1" ht="12.75" customHeight="1" hidden="1">
      <c r="A40" s="350">
        <v>17.3</v>
      </c>
      <c r="B40" s="343" t="s">
        <v>195</v>
      </c>
      <c r="C40" s="344">
        <v>0.4128908714226315</v>
      </c>
      <c r="D40" s="344">
        <v>0.4022815466683414</v>
      </c>
      <c r="E40" s="345">
        <f t="shared" si="0"/>
        <v>-0.01060932475429005</v>
      </c>
      <c r="F40" s="346"/>
      <c r="G40" s="347"/>
      <c r="I40" s="349">
        <f t="shared" si="1"/>
        <v>0.02637288446898811</v>
      </c>
    </row>
    <row r="41" spans="1:9" s="348" customFormat="1" ht="12.75" customHeight="1">
      <c r="A41" s="350">
        <v>18</v>
      </c>
      <c r="B41" s="343" t="s">
        <v>80</v>
      </c>
      <c r="C41" s="344">
        <v>0.5005116449725984</v>
      </c>
      <c r="D41" s="344">
        <v>0.5047421066714639</v>
      </c>
      <c r="E41" s="345">
        <f t="shared" si="0"/>
        <v>0.00423046169886554</v>
      </c>
      <c r="F41" s="346"/>
      <c r="G41" s="347" t="s">
        <v>44</v>
      </c>
      <c r="I41" s="349">
        <f t="shared" si="1"/>
        <v>-0.008381432107504194</v>
      </c>
    </row>
    <row r="42" spans="1:9" s="348" customFormat="1" ht="12.75" customHeight="1">
      <c r="A42" s="350">
        <v>18.1</v>
      </c>
      <c r="B42" s="343" t="s">
        <v>196</v>
      </c>
      <c r="C42" s="344">
        <v>0.5030658830097319</v>
      </c>
      <c r="D42" s="344">
        <v>0.5088606343491677</v>
      </c>
      <c r="E42" s="345">
        <f t="shared" si="0"/>
        <v>0.005794751339435855</v>
      </c>
      <c r="F42" s="346"/>
      <c r="G42" s="347" t="s">
        <v>44</v>
      </c>
      <c r="I42" s="349">
        <f t="shared" si="1"/>
        <v>-0.011387698218879416</v>
      </c>
    </row>
    <row r="43" spans="1:9" s="348" customFormat="1" ht="12.75" customHeight="1">
      <c r="A43" s="350">
        <v>18.2</v>
      </c>
      <c r="B43" s="343" t="s">
        <v>197</v>
      </c>
      <c r="C43" s="344">
        <v>0.4869766518074982</v>
      </c>
      <c r="D43" s="344">
        <v>0.48393572021563874</v>
      </c>
      <c r="E43" s="345">
        <f t="shared" si="0"/>
        <v>-0.003040931591859475</v>
      </c>
      <c r="F43" s="346"/>
      <c r="G43" s="347" t="s">
        <v>44</v>
      </c>
      <c r="I43" s="349">
        <f t="shared" si="1"/>
        <v>0.0062837510537647745</v>
      </c>
    </row>
    <row r="44" spans="1:9" s="348" customFormat="1" ht="12.75" customHeight="1" hidden="1">
      <c r="A44" s="350">
        <v>19.1</v>
      </c>
      <c r="B44" s="343" t="s">
        <v>198</v>
      </c>
      <c r="C44" s="344">
        <v>5.9312808775504506E-05</v>
      </c>
      <c r="D44" s="344">
        <v>-0.01619791752884504</v>
      </c>
      <c r="E44" s="345">
        <f t="shared" si="0"/>
        <v>-0.016257230337620544</v>
      </c>
      <c r="F44" s="346"/>
      <c r="G44" s="347"/>
      <c r="I44" s="349">
        <f t="shared" si="1"/>
        <v>-1.003661755202166</v>
      </c>
    </row>
    <row r="45" spans="1:9" s="348" customFormat="1" ht="12.75" customHeight="1">
      <c r="A45" s="350" t="s">
        <v>85</v>
      </c>
      <c r="B45" s="343" t="s">
        <v>86</v>
      </c>
      <c r="C45" s="344">
        <v>0.3235252185548686</v>
      </c>
      <c r="D45" s="344">
        <v>0.33225379759852586</v>
      </c>
      <c r="E45" s="345">
        <f t="shared" si="0"/>
        <v>0.008728579043657259</v>
      </c>
      <c r="F45" s="346"/>
      <c r="G45" s="347" t="s">
        <v>44</v>
      </c>
      <c r="I45" s="349">
        <f t="shared" si="1"/>
        <v>-0.026270817991384754</v>
      </c>
    </row>
    <row r="46" spans="1:9" s="348" customFormat="1" ht="12.75" customHeight="1">
      <c r="A46" s="350">
        <v>19.2</v>
      </c>
      <c r="B46" s="343" t="s">
        <v>88</v>
      </c>
      <c r="C46" s="344">
        <v>0.32049541592371084</v>
      </c>
      <c r="D46" s="344">
        <v>0.329841496352378</v>
      </c>
      <c r="E46" s="345">
        <f t="shared" si="0"/>
        <v>0.009346080428667192</v>
      </c>
      <c r="F46" s="346"/>
      <c r="G46" s="347" t="s">
        <v>44</v>
      </c>
      <c r="I46" s="349">
        <f t="shared" si="1"/>
        <v>-0.02833506557550458</v>
      </c>
    </row>
    <row r="47" spans="1:9" s="348" customFormat="1" ht="12.75" customHeight="1" hidden="1">
      <c r="A47" s="350">
        <v>19.3</v>
      </c>
      <c r="B47" s="343" t="s">
        <v>216</v>
      </c>
      <c r="C47" s="344">
        <v>1.4234317279500313</v>
      </c>
      <c r="D47" s="344">
        <v>1.2289386157336575</v>
      </c>
      <c r="E47" s="345">
        <f t="shared" si="0"/>
        <v>-0.19449311221637378</v>
      </c>
      <c r="F47" s="346"/>
      <c r="G47" s="347"/>
      <c r="I47" s="349">
        <f t="shared" si="1"/>
        <v>0.15826104715593492</v>
      </c>
    </row>
    <row r="48" spans="1:9" s="348" customFormat="1" ht="12.75" customHeight="1">
      <c r="A48" s="350" t="s">
        <v>89</v>
      </c>
      <c r="B48" s="343" t="s">
        <v>90</v>
      </c>
      <c r="C48" s="344">
        <v>0.46318478998262064</v>
      </c>
      <c r="D48" s="344">
        <v>0.47053014187199477</v>
      </c>
      <c r="E48" s="345">
        <f t="shared" si="0"/>
        <v>0.00734535188937413</v>
      </c>
      <c r="F48" s="346"/>
      <c r="G48" s="347" t="s">
        <v>44</v>
      </c>
      <c r="I48" s="349">
        <f t="shared" si="1"/>
        <v>-0.015610799895094507</v>
      </c>
    </row>
    <row r="49" spans="1:9" s="348" customFormat="1" ht="12.75" customHeight="1">
      <c r="A49" s="350">
        <v>19.4</v>
      </c>
      <c r="B49" s="343" t="s">
        <v>92</v>
      </c>
      <c r="C49" s="344">
        <v>0.466156457570613</v>
      </c>
      <c r="D49" s="344">
        <v>0.4739795067762193</v>
      </c>
      <c r="E49" s="345">
        <f t="shared" si="0"/>
        <v>0.00782304920560628</v>
      </c>
      <c r="F49" s="346"/>
      <c r="G49" s="347" t="s">
        <v>44</v>
      </c>
      <c r="I49" s="349">
        <f t="shared" si="1"/>
        <v>-0.01650503680805715</v>
      </c>
    </row>
    <row r="50" spans="1:9" s="348" customFormat="1" ht="12.75" customHeight="1">
      <c r="A50" s="350">
        <v>21.1</v>
      </c>
      <c r="B50" s="343" t="s">
        <v>94</v>
      </c>
      <c r="C50" s="344">
        <v>0.3276583754638772</v>
      </c>
      <c r="D50" s="344">
        <v>0.33549281014277643</v>
      </c>
      <c r="E50" s="345">
        <f t="shared" si="0"/>
        <v>0.007834434678899216</v>
      </c>
      <c r="F50" s="346"/>
      <c r="G50" s="347" t="s">
        <v>44</v>
      </c>
      <c r="I50" s="349">
        <f t="shared" si="1"/>
        <v>-0.0233520196023429</v>
      </c>
    </row>
    <row r="51" spans="1:9" s="348" customFormat="1" ht="12.75" customHeight="1">
      <c r="A51" s="350">
        <v>21.2</v>
      </c>
      <c r="B51" s="343" t="s">
        <v>96</v>
      </c>
      <c r="C51" s="344">
        <v>0.4517499498942321</v>
      </c>
      <c r="D51" s="344">
        <v>0.457085951766899</v>
      </c>
      <c r="E51" s="345">
        <f t="shared" si="0"/>
        <v>0.005336001872666862</v>
      </c>
      <c r="F51" s="346"/>
      <c r="G51" s="347" t="s">
        <v>44</v>
      </c>
      <c r="I51" s="349">
        <f t="shared" si="1"/>
        <v>-0.011673957276613245</v>
      </c>
    </row>
    <row r="52" spans="1:9" s="348" customFormat="1" ht="12.75" customHeight="1">
      <c r="A52" s="350">
        <v>22</v>
      </c>
      <c r="B52" s="343" t="s">
        <v>98</v>
      </c>
      <c r="C52" s="344">
        <v>0.4141556705165565</v>
      </c>
      <c r="D52" s="344">
        <v>0.3813489240383941</v>
      </c>
      <c r="E52" s="345">
        <f t="shared" si="0"/>
        <v>-0.032806746478162396</v>
      </c>
      <c r="F52" s="346"/>
      <c r="G52" s="347" t="s">
        <v>44</v>
      </c>
      <c r="I52" s="349">
        <f t="shared" si="1"/>
        <v>0.08602816059042939</v>
      </c>
    </row>
    <row r="53" spans="1:9" s="348" customFormat="1" ht="12.75" customHeight="1">
      <c r="A53" s="350">
        <v>23</v>
      </c>
      <c r="B53" s="343" t="s">
        <v>101</v>
      </c>
      <c r="C53" s="344">
        <v>0.595780977385944</v>
      </c>
      <c r="D53" s="344">
        <v>0.5869284459189231</v>
      </c>
      <c r="E53" s="345">
        <f t="shared" si="0"/>
        <v>-0.008852531467020919</v>
      </c>
      <c r="F53" s="346"/>
      <c r="G53" s="347" t="s">
        <v>44</v>
      </c>
      <c r="I53" s="349">
        <f t="shared" si="1"/>
        <v>0.01508281210184137</v>
      </c>
    </row>
    <row r="54" spans="1:9" s="348" customFormat="1" ht="12.75" customHeight="1">
      <c r="A54" s="350">
        <v>24</v>
      </c>
      <c r="B54" s="343" t="s">
        <v>103</v>
      </c>
      <c r="C54" s="344">
        <v>0.6005964739575004</v>
      </c>
      <c r="D54" s="344">
        <v>0.6015788209396578</v>
      </c>
      <c r="E54" s="345">
        <f t="shared" si="0"/>
        <v>0.0009823469821573783</v>
      </c>
      <c r="F54" s="346"/>
      <c r="G54" s="347" t="s">
        <v>44</v>
      </c>
      <c r="I54" s="349">
        <f t="shared" si="1"/>
        <v>-0.0016329480825520992</v>
      </c>
    </row>
    <row r="55" spans="1:9" s="348" customFormat="1" ht="12.75" customHeight="1">
      <c r="A55" s="350">
        <v>26</v>
      </c>
      <c r="B55" s="343" t="s">
        <v>141</v>
      </c>
      <c r="C55" s="344">
        <v>0.5695438911694767</v>
      </c>
      <c r="D55" s="344">
        <v>0.5403463567716703</v>
      </c>
      <c r="E55" s="345">
        <f t="shared" si="0"/>
        <v>-0.02919753439780637</v>
      </c>
      <c r="F55" s="346"/>
      <c r="G55" s="347" t="s">
        <v>44</v>
      </c>
      <c r="I55" s="349">
        <f t="shared" si="1"/>
        <v>0.054034850114005994</v>
      </c>
    </row>
    <row r="56" spans="1:9" s="348" customFormat="1" ht="12.75" customHeight="1">
      <c r="A56" s="350">
        <v>27</v>
      </c>
      <c r="B56" s="343" t="s">
        <v>108</v>
      </c>
      <c r="C56" s="344">
        <v>0.526440465733489</v>
      </c>
      <c r="D56" s="344">
        <v>0.5355935566925056</v>
      </c>
      <c r="E56" s="345">
        <f t="shared" si="0"/>
        <v>0.009153090959016619</v>
      </c>
      <c r="F56" s="346"/>
      <c r="G56" s="347" t="s">
        <v>44</v>
      </c>
      <c r="I56" s="349">
        <f t="shared" si="1"/>
        <v>-0.017089621121546772</v>
      </c>
    </row>
    <row r="57" spans="1:9" s="348" customFormat="1" ht="12.75" customHeight="1">
      <c r="A57" s="350">
        <v>28</v>
      </c>
      <c r="B57" s="343" t="s">
        <v>110</v>
      </c>
      <c r="C57" s="344">
        <v>0.4435287435316639</v>
      </c>
      <c r="D57" s="344">
        <v>0.42506730848013813</v>
      </c>
      <c r="E57" s="345">
        <f t="shared" si="0"/>
        <v>-0.018461435051525754</v>
      </c>
      <c r="F57" s="346"/>
      <c r="G57" s="347" t="s">
        <v>44</v>
      </c>
      <c r="I57" s="349">
        <f t="shared" si="1"/>
        <v>0.04343179229081651</v>
      </c>
    </row>
    <row r="58" spans="1:9" s="348" customFormat="1" ht="12.75" customHeight="1" hidden="1">
      <c r="A58" s="350">
        <v>29</v>
      </c>
      <c r="B58" s="343" t="s">
        <v>205</v>
      </c>
      <c r="C58" s="344">
        <v>0.6161384606567711</v>
      </c>
      <c r="D58" s="344">
        <v>0.3637089101009791</v>
      </c>
      <c r="E58" s="345">
        <f t="shared" si="0"/>
        <v>-0.252429550555792</v>
      </c>
      <c r="F58" s="346"/>
      <c r="G58" s="347"/>
      <c r="I58" s="349">
        <f t="shared" si="1"/>
        <v>0.6940428005618784</v>
      </c>
    </row>
    <row r="59" spans="1:9" s="348" customFormat="1" ht="12.75" customHeight="1">
      <c r="A59" s="350">
        <v>30</v>
      </c>
      <c r="B59" s="343" t="s">
        <v>112</v>
      </c>
      <c r="C59" s="344">
        <v>1.8937557369732756</v>
      </c>
      <c r="D59" s="344">
        <v>1.9025159551939477</v>
      </c>
      <c r="E59" s="345">
        <f t="shared" si="0"/>
        <v>0.008760218220672078</v>
      </c>
      <c r="F59" s="346"/>
      <c r="G59" s="347" t="s">
        <v>44</v>
      </c>
      <c r="I59" s="349">
        <f t="shared" si="1"/>
        <v>-0.004604543891869262</v>
      </c>
    </row>
    <row r="60" spans="1:9" s="348" customFormat="1" ht="12.75" customHeight="1">
      <c r="A60" s="350">
        <v>34</v>
      </c>
      <c r="B60" s="343" t="s">
        <v>114</v>
      </c>
      <c r="C60" s="344">
        <v>0.38440917130248325</v>
      </c>
      <c r="D60" s="344">
        <v>0.3664560052153267</v>
      </c>
      <c r="E60" s="345">
        <f t="shared" si="0"/>
        <v>-0.01795316608715658</v>
      </c>
      <c r="F60" s="346"/>
      <c r="G60" s="347" t="s">
        <v>44</v>
      </c>
      <c r="I60" s="349">
        <f t="shared" si="1"/>
        <v>0.04899132728526978</v>
      </c>
    </row>
    <row r="61" spans="1:9" s="348" customFormat="1" ht="12.75" customHeight="1" hidden="1">
      <c r="A61" s="350">
        <v>35</v>
      </c>
      <c r="B61" s="343" t="s">
        <v>206</v>
      </c>
      <c r="C61" s="344">
        <v>0.41486863802823887</v>
      </c>
      <c r="D61" s="344">
        <v>0.44389823494630326</v>
      </c>
      <c r="E61" s="345">
        <f t="shared" si="0"/>
        <v>0.029029596918064393</v>
      </c>
      <c r="F61" s="346"/>
      <c r="G61" s="347"/>
      <c r="I61" s="349">
        <f t="shared" si="1"/>
        <v>-0.06539696406221573</v>
      </c>
    </row>
    <row r="62" spans="1:9" s="348" customFormat="1" ht="20.25" customHeight="1">
      <c r="A62" s="350"/>
      <c r="B62" s="294" t="s">
        <v>207</v>
      </c>
      <c r="C62" s="353">
        <v>0.4266903744686276</v>
      </c>
      <c r="D62" s="344">
        <v>0.4377918212320139</v>
      </c>
      <c r="E62" s="354">
        <f t="shared" si="0"/>
        <v>0.011101446763386258</v>
      </c>
      <c r="F62" s="346"/>
      <c r="G62" s="347" t="s">
        <v>44</v>
      </c>
      <c r="I62" s="349">
        <f t="shared" si="1"/>
        <v>-0.025357821286256743</v>
      </c>
    </row>
    <row r="64" ht="15.75">
      <c r="C64" s="357"/>
    </row>
    <row r="65" ht="15.75">
      <c r="C65" s="359"/>
    </row>
  </sheetData>
  <sheetProtection/>
  <mergeCells count="2">
    <mergeCell ref="A1:E1"/>
    <mergeCell ref="E4:E5"/>
  </mergeCells>
  <printOptions horizontalCentered="1"/>
  <pageMargins left="0.25" right="0.25" top="1" bottom="0.5" header="0.5" footer="0.5"/>
  <pageSetup fitToHeight="1" fitToWidth="1" horizontalDpi="600" verticalDpi="600" orientation="portrait" r:id="rId1"/>
  <headerFooter alignWithMargins="0">
    <oddFooter>&amp;LCalifornia Department of Insurance&amp;RRate Specialist Bureau - 9/15/2021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="115" zoomScaleNormal="115" zoomScalePageLayoutView="0" workbookViewId="0" topLeftCell="A1">
      <selection activeCell="A1" sqref="A1:R1"/>
    </sheetView>
  </sheetViews>
  <sheetFormatPr defaultColWidth="9.28125" defaultRowHeight="12.75"/>
  <cols>
    <col min="1" max="1" width="6.28125" style="14" customWidth="1"/>
    <col min="2" max="2" width="6.140625" style="14" bestFit="1" customWidth="1"/>
    <col min="3" max="3" width="17.7109375" style="14" customWidth="1"/>
    <col min="4" max="4" width="16.28125" style="119" bestFit="1" customWidth="1"/>
    <col min="5" max="6" width="14.7109375" style="119" customWidth="1"/>
    <col min="7" max="12" width="14.7109375" style="14" customWidth="1"/>
    <col min="13" max="13" width="15.7109375" style="14" hidden="1" customWidth="1"/>
    <col min="14" max="14" width="14.7109375" style="14" hidden="1" customWidth="1"/>
    <col min="15" max="15" width="11.57421875" style="129" customWidth="1"/>
    <col min="16" max="16" width="5.28125" style="129" bestFit="1" customWidth="1"/>
    <col min="17" max="17" width="9.57421875" style="14" hidden="1" customWidth="1"/>
    <col min="18" max="18" width="7.28125" style="14" hidden="1" customWidth="1"/>
    <col min="19" max="19" width="18.28125" style="14" hidden="1" customWidth="1"/>
    <col min="20" max="20" width="6.28125" style="14" hidden="1" customWidth="1"/>
    <col min="21" max="21" width="19.7109375" style="14" hidden="1" customWidth="1"/>
    <col min="22" max="22" width="18.28125" style="14" hidden="1" customWidth="1"/>
    <col min="23" max="23" width="9.7109375" style="14" hidden="1" customWidth="1"/>
    <col min="24" max="24" width="4.28125" style="14" hidden="1" customWidth="1"/>
    <col min="25" max="25" width="4.00390625" style="14" hidden="1" customWidth="1"/>
    <col min="26" max="26" width="1.28515625" style="14" hidden="1" customWidth="1"/>
    <col min="27" max="27" width="8.00390625" style="14" hidden="1" customWidth="1"/>
    <col min="28" max="29" width="9.28125" style="14" hidden="1" customWidth="1"/>
    <col min="30" max="16384" width="9.28125" style="14" customWidth="1"/>
  </cols>
  <sheetData>
    <row r="1" spans="1:26" s="3" customFormat="1" ht="37.5" customHeight="1" thickBo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7"/>
      <c r="Q1" s="406"/>
      <c r="R1" s="406"/>
      <c r="S1" s="1"/>
      <c r="T1" s="2" t="s">
        <v>1</v>
      </c>
      <c r="U1" s="2"/>
      <c r="V1" s="2"/>
      <c r="W1" s="2"/>
      <c r="X1" s="2"/>
      <c r="Y1" s="2"/>
      <c r="Z1" s="2"/>
    </row>
    <row r="2" spans="1:26" ht="2.25" customHeight="1">
      <c r="A2" s="4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8"/>
      <c r="P2" s="9"/>
      <c r="Q2" s="10"/>
      <c r="R2" s="11"/>
      <c r="S2" s="12"/>
      <c r="T2" s="13"/>
      <c r="U2" s="13"/>
      <c r="V2" s="13"/>
      <c r="W2" s="13"/>
      <c r="X2" s="13"/>
      <c r="Y2" s="13"/>
      <c r="Z2" s="13"/>
    </row>
    <row r="3" spans="1:26" s="25" customFormat="1" ht="10.5" customHeight="1">
      <c r="A3" s="15"/>
      <c r="B3" s="16"/>
      <c r="C3" s="16"/>
      <c r="D3" s="17" t="s">
        <v>2</v>
      </c>
      <c r="E3" s="17" t="s">
        <v>3</v>
      </c>
      <c r="F3" s="17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9" t="s">
        <v>13</v>
      </c>
      <c r="P3" s="20"/>
      <c r="Q3" s="16"/>
      <c r="R3" s="21"/>
      <c r="S3" s="22" t="s">
        <v>14</v>
      </c>
      <c r="T3" s="23" t="s">
        <v>15</v>
      </c>
      <c r="U3" s="13"/>
      <c r="V3" s="24"/>
      <c r="W3" s="24"/>
      <c r="X3" s="24"/>
      <c r="Y3" s="24"/>
      <c r="Z3" s="24"/>
    </row>
    <row r="4" spans="1:26" s="25" customFormat="1" ht="11.25" customHeight="1">
      <c r="A4" s="15"/>
      <c r="B4" s="16"/>
      <c r="C4" s="16"/>
      <c r="D4" s="26">
        <v>2020</v>
      </c>
      <c r="E4" s="26">
        <v>2020</v>
      </c>
      <c r="F4" s="26">
        <v>2020</v>
      </c>
      <c r="G4" s="26">
        <v>2020</v>
      </c>
      <c r="H4" s="26">
        <v>2020</v>
      </c>
      <c r="I4" s="26">
        <v>2020</v>
      </c>
      <c r="J4" s="26">
        <v>2019</v>
      </c>
      <c r="K4" s="26">
        <v>2019</v>
      </c>
      <c r="L4" s="26">
        <v>2019</v>
      </c>
      <c r="M4" s="26"/>
      <c r="N4" s="26"/>
      <c r="O4" s="27"/>
      <c r="P4" s="28"/>
      <c r="Q4" s="29"/>
      <c r="R4" s="30"/>
      <c r="S4" s="31" t="s">
        <v>16</v>
      </c>
      <c r="T4" s="23" t="s">
        <v>17</v>
      </c>
      <c r="U4" s="13"/>
      <c r="V4" s="24"/>
      <c r="W4" s="24"/>
      <c r="X4" s="24"/>
      <c r="Y4" s="24"/>
      <c r="Z4" s="24"/>
    </row>
    <row r="5" spans="1:26" s="25" customFormat="1" ht="25.5" customHeight="1">
      <c r="A5" s="15"/>
      <c r="B5" s="16"/>
      <c r="C5" s="32" t="s">
        <v>18</v>
      </c>
      <c r="D5" s="33" t="s">
        <v>19</v>
      </c>
      <c r="E5" s="33" t="s">
        <v>20</v>
      </c>
      <c r="F5" s="33" t="s">
        <v>21</v>
      </c>
      <c r="G5" s="34" t="s">
        <v>22</v>
      </c>
      <c r="H5" s="34" t="s">
        <v>23</v>
      </c>
      <c r="I5" s="34" t="s">
        <v>24</v>
      </c>
      <c r="J5" s="34" t="s">
        <v>22</v>
      </c>
      <c r="K5" s="34" t="s">
        <v>23</v>
      </c>
      <c r="L5" s="34" t="s">
        <v>24</v>
      </c>
      <c r="M5" s="34" t="s">
        <v>25</v>
      </c>
      <c r="N5" s="34" t="s">
        <v>26</v>
      </c>
      <c r="O5" s="35" t="s">
        <v>27</v>
      </c>
      <c r="P5" s="36"/>
      <c r="Q5" s="37" t="s">
        <v>28</v>
      </c>
      <c r="R5" s="38" t="s">
        <v>29</v>
      </c>
      <c r="S5" s="39" t="s">
        <v>30</v>
      </c>
      <c r="T5" s="40"/>
      <c r="U5" s="41" t="s">
        <v>31</v>
      </c>
      <c r="V5" s="41" t="s">
        <v>32</v>
      </c>
      <c r="W5" s="42" t="s">
        <v>33</v>
      </c>
      <c r="X5" s="24"/>
      <c r="Y5" s="24"/>
      <c r="Z5" s="24"/>
    </row>
    <row r="6" spans="1:28" s="25" customFormat="1" ht="28.5" customHeight="1" thickBot="1">
      <c r="A6" s="43"/>
      <c r="B6" s="44"/>
      <c r="C6" s="44"/>
      <c r="D6" s="45"/>
      <c r="E6" s="45"/>
      <c r="F6" s="46" t="s">
        <v>34</v>
      </c>
      <c r="G6" s="45"/>
      <c r="H6" s="45"/>
      <c r="I6" s="45"/>
      <c r="J6" s="45"/>
      <c r="K6" s="45"/>
      <c r="L6" s="45"/>
      <c r="M6" s="47"/>
      <c r="N6" s="47"/>
      <c r="O6" s="48" t="s">
        <v>35</v>
      </c>
      <c r="P6" s="49"/>
      <c r="Q6" s="50" t="s">
        <v>36</v>
      </c>
      <c r="R6" s="51"/>
      <c r="S6" s="52" t="s">
        <v>37</v>
      </c>
      <c r="T6" s="53"/>
      <c r="U6" s="54" t="s">
        <v>38</v>
      </c>
      <c r="V6" s="54" t="s">
        <v>21</v>
      </c>
      <c r="W6" s="55" t="s">
        <v>39</v>
      </c>
      <c r="X6" s="24"/>
      <c r="Y6" s="24"/>
      <c r="Z6" s="24"/>
      <c r="AB6" s="56" t="s">
        <v>40</v>
      </c>
    </row>
    <row r="7" spans="1:26" ht="4.5" customHeight="1" thickBot="1">
      <c r="A7" s="57"/>
      <c r="B7" s="57"/>
      <c r="C7" s="58"/>
      <c r="D7" s="59"/>
      <c r="E7" s="59"/>
      <c r="F7" s="60"/>
      <c r="G7" s="58"/>
      <c r="H7" s="58"/>
      <c r="I7" s="58"/>
      <c r="J7" s="58"/>
      <c r="K7" s="58"/>
      <c r="L7" s="58"/>
      <c r="M7" s="58"/>
      <c r="N7" s="58"/>
      <c r="O7" s="61"/>
      <c r="P7" s="61"/>
      <c r="Q7" s="57"/>
      <c r="R7" s="57"/>
      <c r="T7" s="62"/>
      <c r="U7" s="63"/>
      <c r="V7" s="63"/>
      <c r="W7" s="63"/>
      <c r="X7" s="13"/>
      <c r="Y7" s="13"/>
      <c r="Z7" s="13"/>
    </row>
    <row r="8" spans="1:28" ht="11.25" customHeight="1">
      <c r="A8" s="64" t="s">
        <v>41</v>
      </c>
      <c r="B8" s="65"/>
      <c r="C8" s="66" t="s">
        <v>42</v>
      </c>
      <c r="D8" s="67">
        <v>1120544380</v>
      </c>
      <c r="E8" s="67">
        <v>48737618</v>
      </c>
      <c r="F8" s="67">
        <f aca="true" t="shared" si="0" ref="F8:F43">D8+E8</f>
        <v>1169281998</v>
      </c>
      <c r="G8" s="67">
        <f>+aoe_2020!G10</f>
        <v>1462832833</v>
      </c>
      <c r="H8" s="67">
        <f>+aoe_2020!H10</f>
        <v>47901638</v>
      </c>
      <c r="I8" s="67">
        <f>+aoe_2020!I10</f>
        <v>47025380.732013084</v>
      </c>
      <c r="J8" s="67">
        <f>+aoe_2019!G10</f>
        <v>969491262</v>
      </c>
      <c r="K8" s="67">
        <f>+aoe_2019!H10</f>
        <v>31275535</v>
      </c>
      <c r="L8" s="67">
        <f>+aoe_2019!I10</f>
        <v>33270131.345103644</v>
      </c>
      <c r="M8" s="68">
        <f>SUM(G8:L8)</f>
        <v>2591796780.0771165</v>
      </c>
      <c r="N8" s="68">
        <f>+M8/2</f>
        <v>1295898390.0385582</v>
      </c>
      <c r="O8" s="69">
        <v>0.9908701693934334</v>
      </c>
      <c r="P8" s="70" t="s">
        <v>43</v>
      </c>
      <c r="Q8" s="71"/>
      <c r="R8" s="71"/>
      <c r="S8" s="72">
        <f>+O8*F8</f>
        <v>1158606651.4269524</v>
      </c>
      <c r="T8" s="62" t="str">
        <f>+C8</f>
        <v>FIRE</v>
      </c>
      <c r="U8" s="73">
        <f>SUM(G8:L8)</f>
        <v>2591796780.0771165</v>
      </c>
      <c r="V8" s="73">
        <f>+F8</f>
        <v>1169281998</v>
      </c>
      <c r="W8" s="63"/>
      <c r="X8" s="13"/>
      <c r="Y8" s="13"/>
      <c r="Z8" s="13"/>
      <c r="AB8" s="56" t="s">
        <v>44</v>
      </c>
    </row>
    <row r="9" spans="1:28" ht="11.25" customHeight="1">
      <c r="A9" s="74" t="s">
        <v>45</v>
      </c>
      <c r="B9" s="75"/>
      <c r="C9" s="76" t="s">
        <v>46</v>
      </c>
      <c r="D9" s="77">
        <v>821959910</v>
      </c>
      <c r="E9" s="77">
        <v>26796764</v>
      </c>
      <c r="F9" s="77">
        <f t="shared" si="0"/>
        <v>848756674</v>
      </c>
      <c r="G9" s="77">
        <f>+aoe_2020!G11</f>
        <v>753688702</v>
      </c>
      <c r="H9" s="77">
        <f>+aoe_2020!H11</f>
        <v>29609539</v>
      </c>
      <c r="I9" s="77">
        <f>+aoe_2020!I11</f>
        <v>26147568.3111962</v>
      </c>
      <c r="J9" s="77">
        <f>+aoe_2019!G11</f>
        <v>493357493</v>
      </c>
      <c r="K9" s="77">
        <f>+aoe_2019!H11</f>
        <v>21075162</v>
      </c>
      <c r="L9" s="77">
        <f>+aoe_2019!I11</f>
        <v>16140686.598222902</v>
      </c>
      <c r="M9" s="78">
        <f aca="true" t="shared" si="1" ref="M9:M43">SUM(G9:L9)</f>
        <v>1340019150.9094193</v>
      </c>
      <c r="N9" s="78">
        <f aca="true" t="shared" si="2" ref="N9:N43">+M9/2</f>
        <v>670009575.4547096</v>
      </c>
      <c r="O9" s="79">
        <v>0.8405808614465139</v>
      </c>
      <c r="P9" s="80" t="s">
        <v>43</v>
      </c>
      <c r="Q9" s="71"/>
      <c r="R9" s="71"/>
      <c r="S9" s="81">
        <f aca="true" t="shared" si="3" ref="S9:S41">+O9*F9</f>
        <v>713448616.1893979</v>
      </c>
      <c r="T9" s="62" t="str">
        <f>+C9</f>
        <v>ALLIED LINES</v>
      </c>
      <c r="U9" s="73">
        <f>SUM(G9:L9)</f>
        <v>1340019150.9094193</v>
      </c>
      <c r="V9" s="73">
        <f>+F9</f>
        <v>848756674</v>
      </c>
      <c r="W9" s="63"/>
      <c r="X9" s="13"/>
      <c r="Y9" s="13"/>
      <c r="Z9" s="13"/>
      <c r="AB9" s="56" t="s">
        <v>44</v>
      </c>
    </row>
    <row r="10" spans="1:28" ht="11.25" customHeight="1">
      <c r="A10" s="74" t="s">
        <v>47</v>
      </c>
      <c r="B10" s="75"/>
      <c r="C10" s="76" t="s">
        <v>48</v>
      </c>
      <c r="D10" s="77">
        <v>2675560</v>
      </c>
      <c r="E10" s="77">
        <v>-199047</v>
      </c>
      <c r="F10" s="77">
        <f t="shared" si="0"/>
        <v>2476513</v>
      </c>
      <c r="G10" s="77">
        <f>+aoe_2020!G12</f>
        <v>5380786</v>
      </c>
      <c r="H10" s="77">
        <f>+aoe_2020!H12</f>
        <v>4</v>
      </c>
      <c r="I10" s="77">
        <f>+aoe_2020!I12</f>
        <v>92741.02379232192</v>
      </c>
      <c r="J10" s="77">
        <f>+aoe_2019!G12</f>
        <v>8104622</v>
      </c>
      <c r="K10" s="77">
        <f>+aoe_2019!H12</f>
        <v>227446</v>
      </c>
      <c r="L10" s="77">
        <f>+aoe_2019!I12</f>
        <v>90880.02086606005</v>
      </c>
      <c r="M10" s="78">
        <f>SUM(G10:L10)</f>
        <v>13896479.044658383</v>
      </c>
      <c r="N10" s="78">
        <f>+M10/2</f>
        <v>6948239.522329192</v>
      </c>
      <c r="O10" s="79">
        <v>1.3538333883705174</v>
      </c>
      <c r="P10" s="80" t="s">
        <v>43</v>
      </c>
      <c r="Q10" s="71"/>
      <c r="R10" s="71"/>
      <c r="S10" s="81">
        <f t="shared" si="3"/>
        <v>3352785.986133635</v>
      </c>
      <c r="T10" s="62"/>
      <c r="U10" s="73"/>
      <c r="V10" s="73"/>
      <c r="W10" s="63"/>
      <c r="X10" s="13"/>
      <c r="Y10" s="13"/>
      <c r="Z10" s="13"/>
      <c r="AB10" s="56" t="s">
        <v>44</v>
      </c>
    </row>
    <row r="11" spans="1:28" ht="11.25" customHeight="1">
      <c r="A11" s="74" t="s">
        <v>49</v>
      </c>
      <c r="B11" s="75"/>
      <c r="C11" s="76" t="s">
        <v>50</v>
      </c>
      <c r="D11" s="77">
        <v>17245677</v>
      </c>
      <c r="E11" s="77">
        <v>1142146</v>
      </c>
      <c r="F11" s="77">
        <f t="shared" si="0"/>
        <v>18387823</v>
      </c>
      <c r="G11" s="77">
        <f>+aoe_2020!G13</f>
        <v>23548405</v>
      </c>
      <c r="H11" s="77">
        <f>+aoe_2020!H13</f>
        <v>583331</v>
      </c>
      <c r="I11" s="77">
        <f>+aoe_2020!I13</f>
        <v>411253.0634964073</v>
      </c>
      <c r="J11" s="77">
        <f>+aoe_2019!G13</f>
        <v>14246201</v>
      </c>
      <c r="K11" s="77">
        <f>+aoe_2019!H13</f>
        <v>436148</v>
      </c>
      <c r="L11" s="77">
        <f>+aoe_2019!I13</f>
        <v>283189.71822373127</v>
      </c>
      <c r="M11" s="78">
        <f>SUM(G11:L11)</f>
        <v>39508527.78172014</v>
      </c>
      <c r="N11" s="78">
        <f>+M11/2</f>
        <v>19754263.89086007</v>
      </c>
      <c r="O11" s="79">
        <v>0.791210063607816</v>
      </c>
      <c r="P11" s="80" t="s">
        <v>43</v>
      </c>
      <c r="Q11" s="71"/>
      <c r="R11" s="71"/>
      <c r="S11" s="81">
        <f t="shared" si="3"/>
        <v>14548630.605439262</v>
      </c>
      <c r="T11" s="62"/>
      <c r="U11" s="73"/>
      <c r="V11" s="73"/>
      <c r="W11" s="63"/>
      <c r="X11" s="13"/>
      <c r="Y11" s="13"/>
      <c r="Z11" s="13"/>
      <c r="AB11" s="56" t="s">
        <v>44</v>
      </c>
    </row>
    <row r="12" spans="1:28" ht="11.25" customHeight="1">
      <c r="A12" s="74" t="s">
        <v>51</v>
      </c>
      <c r="B12" s="75"/>
      <c r="C12" s="76" t="s">
        <v>52</v>
      </c>
      <c r="D12" s="77">
        <v>219580887</v>
      </c>
      <c r="E12" s="77">
        <v>6833425</v>
      </c>
      <c r="F12" s="77">
        <f t="shared" si="0"/>
        <v>226414312</v>
      </c>
      <c r="G12" s="77">
        <f>+aoe_2020!G14</f>
        <v>213492499</v>
      </c>
      <c r="H12" s="77">
        <f>+aoe_2020!H14</f>
        <v>25828094</v>
      </c>
      <c r="I12" s="77">
        <f>+aoe_2020!I14</f>
        <v>13911822.968464166</v>
      </c>
      <c r="J12" s="77">
        <f>+aoe_2019!G14</f>
        <v>157941708</v>
      </c>
      <c r="K12" s="77">
        <f>+aoe_2019!H14</f>
        <v>26136841</v>
      </c>
      <c r="L12" s="77">
        <f>+aoe_2019!I14</f>
        <v>11786348.094031004</v>
      </c>
      <c r="M12" s="78">
        <f t="shared" si="1"/>
        <v>449097313.0624951</v>
      </c>
      <c r="N12" s="78">
        <f t="shared" si="2"/>
        <v>224548656.53124756</v>
      </c>
      <c r="O12" s="79">
        <v>0.9853711623054978</v>
      </c>
      <c r="P12" s="80" t="s">
        <v>43</v>
      </c>
      <c r="Q12" s="71"/>
      <c r="R12" s="71"/>
      <c r="S12" s="81">
        <f t="shared" si="3"/>
        <v>223102133.77803963</v>
      </c>
      <c r="T12" s="62"/>
      <c r="U12" s="63"/>
      <c r="V12" s="63"/>
      <c r="W12" s="63"/>
      <c r="X12" s="13"/>
      <c r="Y12" s="13"/>
      <c r="Z12" s="13"/>
      <c r="AB12" s="56" t="s">
        <v>44</v>
      </c>
    </row>
    <row r="13" spans="1:28" ht="11.25" customHeight="1">
      <c r="A13" s="74" t="s">
        <v>53</v>
      </c>
      <c r="B13" s="75"/>
      <c r="C13" s="76" t="s">
        <v>54</v>
      </c>
      <c r="D13" s="77">
        <v>3665435697</v>
      </c>
      <c r="E13" s="77">
        <v>224975442</v>
      </c>
      <c r="F13" s="77">
        <f t="shared" si="0"/>
        <v>3890411139</v>
      </c>
      <c r="G13" s="77">
        <f>+aoe_2020!G15</f>
        <v>5655536229</v>
      </c>
      <c r="H13" s="77">
        <f>+aoe_2020!H15</f>
        <v>403188704</v>
      </c>
      <c r="I13" s="77">
        <f>+aoe_2020!I15</f>
        <v>634543599.7978303</v>
      </c>
      <c r="J13" s="77">
        <f>+aoe_2019!G15</f>
        <v>5557190061</v>
      </c>
      <c r="K13" s="77">
        <f>+aoe_2019!H15</f>
        <v>443393295</v>
      </c>
      <c r="L13" s="77">
        <f>+aoe_2019!I15</f>
        <v>691773135.1260735</v>
      </c>
      <c r="M13" s="78">
        <f t="shared" si="1"/>
        <v>13385625023.923904</v>
      </c>
      <c r="N13" s="78">
        <f t="shared" si="2"/>
        <v>6692812511.961952</v>
      </c>
      <c r="O13" s="79">
        <v>0.8961055142684093</v>
      </c>
      <c r="P13" s="80" t="s">
        <v>43</v>
      </c>
      <c r="Q13" s="71"/>
      <c r="R13" s="71"/>
      <c r="S13" s="81">
        <f t="shared" si="3"/>
        <v>3486218874.429143</v>
      </c>
      <c r="T13" s="62"/>
      <c r="U13" s="63"/>
      <c r="V13" s="63"/>
      <c r="W13" s="63"/>
      <c r="X13" s="13"/>
      <c r="Y13" s="13"/>
      <c r="Z13" s="13"/>
      <c r="AB13" s="56" t="s">
        <v>44</v>
      </c>
    </row>
    <row r="14" spans="1:28" ht="11.25" customHeight="1">
      <c r="A14" s="74" t="s">
        <v>55</v>
      </c>
      <c r="B14" s="75"/>
      <c r="C14" s="76" t="s">
        <v>56</v>
      </c>
      <c r="D14" s="77">
        <f>+D15+D16</f>
        <v>3061572008</v>
      </c>
      <c r="E14" s="77">
        <f>+E15+E16</f>
        <v>474587159</v>
      </c>
      <c r="F14" s="77">
        <f t="shared" si="0"/>
        <v>3536159167</v>
      </c>
      <c r="G14" s="77">
        <f>+aoe_2020!G16</f>
        <v>5201767749</v>
      </c>
      <c r="H14" s="77">
        <f>+aoe_2020!H16</f>
        <v>1357201889</v>
      </c>
      <c r="I14" s="77">
        <f>+aoe_2020!I16</f>
        <v>323136274.85466063</v>
      </c>
      <c r="J14" s="77">
        <f>+aoe_2019!G16</f>
        <v>4595682362</v>
      </c>
      <c r="K14" s="77">
        <f>+aoe_2019!H16</f>
        <v>1317382519</v>
      </c>
      <c r="L14" s="77">
        <f>+aoe_2019!I16</f>
        <v>307629831.42152137</v>
      </c>
      <c r="M14" s="78">
        <f t="shared" si="1"/>
        <v>13102800625.276182</v>
      </c>
      <c r="N14" s="78">
        <f t="shared" si="2"/>
        <v>6551400312.638091</v>
      </c>
      <c r="O14" s="79">
        <v>1.7434755596365439</v>
      </c>
      <c r="P14" s="80" t="s">
        <v>43</v>
      </c>
      <c r="Q14" s="71"/>
      <c r="R14" s="71"/>
      <c r="S14" s="81">
        <f t="shared" si="3"/>
        <v>6165207082.6492195</v>
      </c>
      <c r="T14" s="62"/>
      <c r="U14" s="63"/>
      <c r="V14" s="63"/>
      <c r="W14" s="63"/>
      <c r="X14" s="13"/>
      <c r="Y14" s="13"/>
      <c r="Z14" s="13"/>
      <c r="AB14" s="56" t="s">
        <v>44</v>
      </c>
    </row>
    <row r="15" spans="1:28" ht="11.25" customHeight="1">
      <c r="A15" s="74" t="s">
        <v>57</v>
      </c>
      <c r="B15" s="75"/>
      <c r="C15" s="82" t="s">
        <v>58</v>
      </c>
      <c r="D15" s="77">
        <v>1958982998</v>
      </c>
      <c r="E15" s="77">
        <v>104371639</v>
      </c>
      <c r="F15" s="77">
        <f t="shared" si="0"/>
        <v>2063354637</v>
      </c>
      <c r="G15" s="77">
        <f>+aoe_2020!G17</f>
        <v>1662584480</v>
      </c>
      <c r="H15" s="77">
        <f>+aoe_2020!H17</f>
        <v>147059659</v>
      </c>
      <c r="I15" s="77">
        <f>+aoe_2020!I17</f>
        <v>106349901.05210833</v>
      </c>
      <c r="J15" s="77">
        <f>+aoe_2019!G17</f>
        <v>1297733594</v>
      </c>
      <c r="K15" s="77">
        <f>+aoe_2019!H17</f>
        <v>103631596</v>
      </c>
      <c r="L15" s="77">
        <f>+aoe_2019!I17</f>
        <v>89693897.08581913</v>
      </c>
      <c r="M15" s="78">
        <f t="shared" si="1"/>
        <v>3407053127.1379275</v>
      </c>
      <c r="N15" s="78">
        <f t="shared" si="2"/>
        <v>1703526563.5689638</v>
      </c>
      <c r="O15" s="79">
        <v>0.8555015993499964</v>
      </c>
      <c r="P15" s="80" t="s">
        <v>59</v>
      </c>
      <c r="Q15" s="71"/>
      <c r="R15" s="71"/>
      <c r="S15" s="81">
        <f t="shared" si="3"/>
        <v>1765203191.979731</v>
      </c>
      <c r="T15" s="62"/>
      <c r="U15" s="63"/>
      <c r="V15" s="63"/>
      <c r="W15" s="63"/>
      <c r="X15" s="13"/>
      <c r="Y15" s="13"/>
      <c r="Z15" s="13"/>
      <c r="AB15" s="56" t="s">
        <v>44</v>
      </c>
    </row>
    <row r="16" spans="1:28" ht="11.25" customHeight="1">
      <c r="A16" s="74" t="s">
        <v>60</v>
      </c>
      <c r="B16" s="75"/>
      <c r="C16" s="82" t="s">
        <v>61</v>
      </c>
      <c r="D16" s="77">
        <v>1102589010</v>
      </c>
      <c r="E16" s="77">
        <v>370215520</v>
      </c>
      <c r="F16" s="77">
        <f t="shared" si="0"/>
        <v>1472804530</v>
      </c>
      <c r="G16" s="77">
        <f>+aoe_2020!G18</f>
        <v>3539183269</v>
      </c>
      <c r="H16" s="77">
        <f>+aoe_2020!H18</f>
        <v>1210142230</v>
      </c>
      <c r="I16" s="77">
        <f>+aoe_2020!I18</f>
        <v>214905775.92190698</v>
      </c>
      <c r="J16" s="77">
        <f>+aoe_2019!G18</f>
        <v>3297948768</v>
      </c>
      <c r="K16" s="77">
        <f>+aoe_2019!H18</f>
        <v>1213750923</v>
      </c>
      <c r="L16" s="77">
        <f>+aoe_2019!I18</f>
        <v>214944298.73699623</v>
      </c>
      <c r="M16" s="78">
        <f t="shared" si="1"/>
        <v>9690875264.658903</v>
      </c>
      <c r="N16" s="78">
        <f t="shared" si="2"/>
        <v>4845437632.329452</v>
      </c>
      <c r="O16" s="79">
        <v>2.8433306647870635</v>
      </c>
      <c r="P16" s="80" t="s">
        <v>43</v>
      </c>
      <c r="Q16" s="71"/>
      <c r="R16" s="71"/>
      <c r="S16" s="81">
        <f t="shared" si="3"/>
        <v>4187670283.3862987</v>
      </c>
      <c r="T16" s="62"/>
      <c r="U16" s="63"/>
      <c r="V16" s="63"/>
      <c r="W16" s="63"/>
      <c r="X16" s="13"/>
      <c r="Y16" s="13"/>
      <c r="Z16" s="13"/>
      <c r="AB16" s="56" t="s">
        <v>44</v>
      </c>
    </row>
    <row r="17" spans="1:28" ht="11.25" customHeight="1">
      <c r="A17" s="74" t="s">
        <v>62</v>
      </c>
      <c r="B17" s="75"/>
      <c r="C17" s="76" t="s">
        <v>63</v>
      </c>
      <c r="D17" s="77">
        <v>2035591625</v>
      </c>
      <c r="E17" s="77">
        <v>63619683</v>
      </c>
      <c r="F17" s="77">
        <f t="shared" si="0"/>
        <v>2099211308</v>
      </c>
      <c r="G17" s="77">
        <f>+aoe_2020!G19</f>
        <v>1043342911</v>
      </c>
      <c r="H17" s="77">
        <f>+aoe_2020!H19</f>
        <v>50723016</v>
      </c>
      <c r="I17" s="77">
        <f>+aoe_2020!I19</f>
        <v>49008495.990168564</v>
      </c>
      <c r="J17" s="77">
        <f>+aoe_2019!G19</f>
        <v>577897658</v>
      </c>
      <c r="K17" s="77">
        <f>+aoe_2019!H19</f>
        <v>21967408</v>
      </c>
      <c r="L17" s="77">
        <f>+aoe_2019!I19</f>
        <v>41898201.58722227</v>
      </c>
      <c r="M17" s="78">
        <f t="shared" si="1"/>
        <v>1784837690.577391</v>
      </c>
      <c r="N17" s="78">
        <f t="shared" si="2"/>
        <v>892418845.2886955</v>
      </c>
      <c r="O17" s="79">
        <v>0.38732053946044664</v>
      </c>
      <c r="P17" s="80" t="s">
        <v>43</v>
      </c>
      <c r="Q17" s="71"/>
      <c r="R17" s="71"/>
      <c r="S17" s="81">
        <f t="shared" si="3"/>
        <v>813067656.2560298</v>
      </c>
      <c r="T17" s="62" t="str">
        <f>+C17</f>
        <v>INLAND MRN</v>
      </c>
      <c r="U17" s="73">
        <f>SUM(G17:L17)</f>
        <v>1784837690.577391</v>
      </c>
      <c r="V17" s="73">
        <f>+F17</f>
        <v>2099211308</v>
      </c>
      <c r="W17" s="63"/>
      <c r="X17" s="13"/>
      <c r="Y17" s="13"/>
      <c r="Z17" s="13"/>
      <c r="AB17" s="56" t="s">
        <v>44</v>
      </c>
    </row>
    <row r="18" spans="1:28" ht="11.25" customHeight="1">
      <c r="A18" s="74" t="s">
        <v>64</v>
      </c>
      <c r="B18" s="75"/>
      <c r="C18" s="76" t="s">
        <v>65</v>
      </c>
      <c r="D18" s="77">
        <v>438509872</v>
      </c>
      <c r="E18" s="77">
        <v>229969121</v>
      </c>
      <c r="F18" s="77">
        <f t="shared" si="0"/>
        <v>668478993</v>
      </c>
      <c r="G18" s="77">
        <f>+aoe_2020!G20</f>
        <v>1459190328</v>
      </c>
      <c r="H18" s="77">
        <f>+aoe_2020!H20</f>
        <v>485169999</v>
      </c>
      <c r="I18" s="77">
        <f>+aoe_2020!I20</f>
        <v>78027556.29346192</v>
      </c>
      <c r="J18" s="77">
        <f>+aoe_2019!G20</f>
        <v>1355336851</v>
      </c>
      <c r="K18" s="77">
        <f>+aoe_2019!H20</f>
        <v>434562957</v>
      </c>
      <c r="L18" s="77">
        <f>+aoe_2019!I20</f>
        <v>76292926.21088094</v>
      </c>
      <c r="M18" s="78">
        <f t="shared" si="1"/>
        <v>3888580617.5043426</v>
      </c>
      <c r="N18" s="78">
        <f t="shared" si="2"/>
        <v>1944290308.7521713</v>
      </c>
      <c r="O18" s="79">
        <v>2.9614351978812086</v>
      </c>
      <c r="P18" s="80" t="s">
        <v>43</v>
      </c>
      <c r="Q18" s="83">
        <f>SUM(Q19:Q20)</f>
        <v>4959725</v>
      </c>
      <c r="R18" s="71"/>
      <c r="S18" s="81">
        <f t="shared" si="3"/>
        <v>1979657218.914386</v>
      </c>
      <c r="T18" s="62"/>
      <c r="U18" s="63"/>
      <c r="V18" s="63"/>
      <c r="W18" s="63"/>
      <c r="X18" s="13"/>
      <c r="Y18" s="13"/>
      <c r="Z18" s="13"/>
      <c r="AB18" s="56" t="s">
        <v>44</v>
      </c>
    </row>
    <row r="19" spans="1:28" ht="11.25" customHeight="1">
      <c r="A19" s="74" t="s">
        <v>66</v>
      </c>
      <c r="B19" s="75"/>
      <c r="C19" s="82" t="s">
        <v>67</v>
      </c>
      <c r="D19" s="77">
        <f>+$R$19*D18</f>
        <v>105331137.08698285</v>
      </c>
      <c r="E19" s="77">
        <f>+$R$19*E18</f>
        <v>55239141.82215708</v>
      </c>
      <c r="F19" s="77">
        <f t="shared" si="0"/>
        <v>160570278.90913993</v>
      </c>
      <c r="G19" s="77">
        <f>+aoe_2020!G21</f>
        <v>525685723.7897851</v>
      </c>
      <c r="H19" s="77">
        <f>+aoe_2020!H21</f>
        <v>174786617.7505285</v>
      </c>
      <c r="I19" s="77">
        <f>+aoe_2020!I21</f>
        <v>28110090.656848654</v>
      </c>
      <c r="J19" s="77">
        <f>+aoe_2019!G21</f>
        <v>501801927.84404796</v>
      </c>
      <c r="K19" s="77">
        <f>+aoe_2019!H21</f>
        <v>160893234.35079396</v>
      </c>
      <c r="L19" s="77">
        <f>+aoe_2019!I21</f>
        <v>28246806.264610115</v>
      </c>
      <c r="M19" s="78">
        <f t="shared" si="1"/>
        <v>1419524400.656614</v>
      </c>
      <c r="N19" s="78">
        <f t="shared" si="2"/>
        <v>709762200.328307</v>
      </c>
      <c r="O19" s="79">
        <v>4.939811371381628</v>
      </c>
      <c r="P19" s="80" t="s">
        <v>59</v>
      </c>
      <c r="Q19" s="84">
        <v>1191338</v>
      </c>
      <c r="R19" s="85">
        <f>+Q19/Q18</f>
        <v>0.24020243057830828</v>
      </c>
      <c r="S19" s="81">
        <f t="shared" si="3"/>
        <v>793186889.6612891</v>
      </c>
      <c r="T19" s="62"/>
      <c r="U19" s="63"/>
      <c r="V19" s="63"/>
      <c r="W19" s="63"/>
      <c r="X19" s="13"/>
      <c r="Y19" s="13"/>
      <c r="Z19" s="13"/>
      <c r="AB19" s="56" t="s">
        <v>44</v>
      </c>
    </row>
    <row r="20" spans="1:28" ht="11.25" customHeight="1">
      <c r="A20" s="74" t="s">
        <v>68</v>
      </c>
      <c r="B20" s="75"/>
      <c r="C20" s="82" t="s">
        <v>69</v>
      </c>
      <c r="D20" s="77">
        <f>+$R$20*D18</f>
        <v>333178734.91301715</v>
      </c>
      <c r="E20" s="77">
        <f>+$R$20*E18</f>
        <v>174729979.17784292</v>
      </c>
      <c r="F20" s="77">
        <f t="shared" si="0"/>
        <v>507908714.09086007</v>
      </c>
      <c r="G20" s="77">
        <f>+aoe_2020!G22</f>
        <v>933504604.2102149</v>
      </c>
      <c r="H20" s="77">
        <f>+aoe_2020!H22</f>
        <v>310383381.2494715</v>
      </c>
      <c r="I20" s="77">
        <f>+aoe_2020!I22</f>
        <v>49917465.63661325</v>
      </c>
      <c r="J20" s="77">
        <f>+aoe_2019!G22</f>
        <v>853534923.155952</v>
      </c>
      <c r="K20" s="77">
        <f>+aoe_2019!H22</f>
        <v>273669722.64920604</v>
      </c>
      <c r="L20" s="77">
        <f>+aoe_2019!I22</f>
        <v>48046119.94627082</v>
      </c>
      <c r="M20" s="78">
        <f t="shared" si="1"/>
        <v>2469056216.8477287</v>
      </c>
      <c r="N20" s="78">
        <f t="shared" si="2"/>
        <v>1234528108.4238644</v>
      </c>
      <c r="O20" s="79">
        <v>2.430610214344578</v>
      </c>
      <c r="P20" s="80" t="s">
        <v>70</v>
      </c>
      <c r="Q20" s="84">
        <v>3768387</v>
      </c>
      <c r="R20" s="85">
        <f>+Q20/Q18</f>
        <v>0.7597975694216917</v>
      </c>
      <c r="S20" s="81">
        <f t="shared" si="3"/>
        <v>1234528108.4238644</v>
      </c>
      <c r="T20" s="62"/>
      <c r="U20" s="63"/>
      <c r="V20" s="63"/>
      <c r="W20" s="63"/>
      <c r="X20" s="13"/>
      <c r="Y20" s="13"/>
      <c r="Z20" s="13"/>
      <c r="AB20" s="56" t="s">
        <v>44</v>
      </c>
    </row>
    <row r="21" spans="1:28" ht="11.25" customHeight="1">
      <c r="A21" s="74" t="s">
        <v>71</v>
      </c>
      <c r="B21" s="75"/>
      <c r="C21" s="76" t="s">
        <v>72</v>
      </c>
      <c r="D21" s="77">
        <v>29380330</v>
      </c>
      <c r="E21" s="77">
        <v>3240757</v>
      </c>
      <c r="F21" s="77">
        <f t="shared" si="0"/>
        <v>32621087</v>
      </c>
      <c r="G21" s="77">
        <f>+aoe_2020!G23</f>
        <v>64851003</v>
      </c>
      <c r="H21" s="77">
        <f>+aoe_2020!H23</f>
        <v>5017033</v>
      </c>
      <c r="I21" s="77">
        <f>+aoe_2020!I23</f>
        <v>4647649.996260404</v>
      </c>
      <c r="J21" s="77">
        <f>+aoe_2019!G23</f>
        <v>44526224</v>
      </c>
      <c r="K21" s="77">
        <f>+aoe_2019!H23</f>
        <v>2225637</v>
      </c>
      <c r="L21" s="77">
        <f>+aoe_2019!I23</f>
        <v>1942217.9073859677</v>
      </c>
      <c r="M21" s="78">
        <f t="shared" si="1"/>
        <v>123209764.90364638</v>
      </c>
      <c r="N21" s="78">
        <f t="shared" si="2"/>
        <v>61604882.45182319</v>
      </c>
      <c r="O21" s="86">
        <v>1</v>
      </c>
      <c r="P21" s="87" t="s">
        <v>44</v>
      </c>
      <c r="Q21" s="88"/>
      <c r="R21" s="71"/>
      <c r="S21" s="81">
        <f t="shared" si="3"/>
        <v>32621087</v>
      </c>
      <c r="T21" s="62"/>
      <c r="U21" s="63"/>
      <c r="V21" s="63"/>
      <c r="W21" s="63"/>
      <c r="X21" s="13"/>
      <c r="Y21" s="13"/>
      <c r="Z21" s="13"/>
      <c r="AB21" s="56" t="s">
        <v>44</v>
      </c>
    </row>
    <row r="22" spans="1:28" ht="11.25" customHeight="1">
      <c r="A22" s="74" t="s">
        <v>73</v>
      </c>
      <c r="B22" s="75"/>
      <c r="C22" s="76" t="s">
        <v>74</v>
      </c>
      <c r="D22" s="77">
        <f>+D23+D24</f>
        <v>8172380633</v>
      </c>
      <c r="E22" s="77">
        <f>+E23+E24</f>
        <v>1528100704</v>
      </c>
      <c r="F22" s="77">
        <f t="shared" si="0"/>
        <v>9700481337</v>
      </c>
      <c r="G22" s="77">
        <f>+aoe_2020!G24</f>
        <v>22769407043</v>
      </c>
      <c r="H22" s="77">
        <f>+aoe_2020!H24</f>
        <v>4291089924</v>
      </c>
      <c r="I22" s="77">
        <f>+aoe_2020!I24</f>
        <v>1107277468.197669</v>
      </c>
      <c r="J22" s="77">
        <f>+aoe_2019!G24</f>
        <v>19920629231</v>
      </c>
      <c r="K22" s="77">
        <f>+aoe_2019!H24</f>
        <v>3908089638</v>
      </c>
      <c r="L22" s="77">
        <f>+aoe_2019!I24</f>
        <v>1014719122.9650851</v>
      </c>
      <c r="M22" s="78">
        <f t="shared" si="1"/>
        <v>53011212427.16276</v>
      </c>
      <c r="N22" s="78">
        <f t="shared" si="2"/>
        <v>26505606213.58138</v>
      </c>
      <c r="O22" s="79">
        <v>3.0642917842230175</v>
      </c>
      <c r="P22" s="80" t="s">
        <v>43</v>
      </c>
      <c r="Q22" s="83"/>
      <c r="R22" s="71"/>
      <c r="S22" s="81">
        <f t="shared" si="3"/>
        <v>29725105263.977814</v>
      </c>
      <c r="T22" s="62"/>
      <c r="U22" s="63"/>
      <c r="V22" s="63"/>
      <c r="W22" s="63"/>
      <c r="X22" s="13"/>
      <c r="Y22" s="13"/>
      <c r="Z22" s="13"/>
      <c r="AB22" s="56" t="s">
        <v>44</v>
      </c>
    </row>
    <row r="23" spans="1:28" ht="11.25" customHeight="1">
      <c r="A23" s="74" t="s">
        <v>75</v>
      </c>
      <c r="B23" s="75"/>
      <c r="C23" s="82" t="s">
        <v>76</v>
      </c>
      <c r="D23" s="77">
        <v>4875136278</v>
      </c>
      <c r="E23" s="77">
        <v>896280078</v>
      </c>
      <c r="F23" s="77">
        <f t="shared" si="0"/>
        <v>5771416356</v>
      </c>
      <c r="G23" s="77">
        <f>+aoe_2020!G25</f>
        <v>14912204059</v>
      </c>
      <c r="H23" s="77">
        <f>+aoe_2020!H25</f>
        <v>2676588582</v>
      </c>
      <c r="I23" s="77">
        <f>+aoe_2020!I25</f>
        <v>742048769.9428351</v>
      </c>
      <c r="J23" s="77">
        <f>+aoe_2019!G25</f>
        <v>12988715809</v>
      </c>
      <c r="K23" s="77">
        <f>+aoe_2019!H25</f>
        <v>2465580780</v>
      </c>
      <c r="L23" s="77">
        <f>+aoe_2019!I25</f>
        <v>690375065.369344</v>
      </c>
      <c r="M23" s="78">
        <f t="shared" si="1"/>
        <v>34475513065.31218</v>
      </c>
      <c r="N23" s="78">
        <f t="shared" si="2"/>
        <v>17237756532.65609</v>
      </c>
      <c r="O23" s="79">
        <v>3.3328987445991727</v>
      </c>
      <c r="P23" s="80" t="s">
        <v>43</v>
      </c>
      <c r="Q23" s="88"/>
      <c r="R23" s="85"/>
      <c r="S23" s="81">
        <f t="shared" si="3"/>
        <v>19235546327.47153</v>
      </c>
      <c r="T23" s="62"/>
      <c r="U23" s="63"/>
      <c r="V23" s="63"/>
      <c r="W23" s="63"/>
      <c r="X23" s="13"/>
      <c r="Y23" s="13"/>
      <c r="Z23" s="13"/>
      <c r="AB23" s="56" t="s">
        <v>44</v>
      </c>
    </row>
    <row r="24" spans="1:28" ht="11.25" customHeight="1">
      <c r="A24" s="74" t="s">
        <v>77</v>
      </c>
      <c r="B24" s="75"/>
      <c r="C24" s="82" t="s">
        <v>78</v>
      </c>
      <c r="D24" s="77">
        <v>3297244355</v>
      </c>
      <c r="E24" s="77">
        <v>631820626</v>
      </c>
      <c r="F24" s="77">
        <f t="shared" si="0"/>
        <v>3929064981</v>
      </c>
      <c r="G24" s="77">
        <f>+aoe_2020!G26</f>
        <v>7857202984</v>
      </c>
      <c r="H24" s="77">
        <f>+aoe_2020!H26</f>
        <v>1614501342</v>
      </c>
      <c r="I24" s="77">
        <f>+aoe_2020!I26</f>
        <v>360186672.76993287</v>
      </c>
      <c r="J24" s="77">
        <f>+aoe_2019!G26</f>
        <v>6931913422</v>
      </c>
      <c r="K24" s="77">
        <f>+aoe_2019!H26</f>
        <v>1442508858</v>
      </c>
      <c r="L24" s="77">
        <f>+aoe_2019!I26</f>
        <v>316330744.24311495</v>
      </c>
      <c r="M24" s="78">
        <f t="shared" si="1"/>
        <v>18522644023.01305</v>
      </c>
      <c r="N24" s="78">
        <f t="shared" si="2"/>
        <v>9261322011.506525</v>
      </c>
      <c r="O24" s="79">
        <v>2.6457942427499086</v>
      </c>
      <c r="P24" s="80" t="s">
        <v>43</v>
      </c>
      <c r="Q24" s="88"/>
      <c r="R24" s="85"/>
      <c r="S24" s="81">
        <f t="shared" si="3"/>
        <v>10395497506.120079</v>
      </c>
      <c r="T24" s="62"/>
      <c r="U24" s="63"/>
      <c r="V24" s="63"/>
      <c r="W24" s="63"/>
      <c r="X24" s="13"/>
      <c r="Y24" s="13"/>
      <c r="Z24" s="13"/>
      <c r="AB24" s="56" t="s">
        <v>44</v>
      </c>
    </row>
    <row r="25" spans="1:28" ht="11.25" customHeight="1">
      <c r="A25" s="74" t="s">
        <v>79</v>
      </c>
      <c r="B25" s="75"/>
      <c r="C25" s="76" t="s">
        <v>80</v>
      </c>
      <c r="D25" s="77">
        <v>314444085</v>
      </c>
      <c r="E25" s="77">
        <v>134088823</v>
      </c>
      <c r="F25" s="77">
        <f t="shared" si="0"/>
        <v>448532908</v>
      </c>
      <c r="G25" s="77">
        <f>+aoe_2020!G27</f>
        <v>1535614160</v>
      </c>
      <c r="H25" s="77">
        <f>+aoe_2020!H27</f>
        <v>687641067</v>
      </c>
      <c r="I25" s="77">
        <f>+aoe_2020!I27</f>
        <v>129088278.04524729</v>
      </c>
      <c r="J25" s="77">
        <f>+aoe_2019!G27</f>
        <v>1575613942</v>
      </c>
      <c r="K25" s="77">
        <f>+aoe_2019!H27</f>
        <v>690856351</v>
      </c>
      <c r="L25" s="77">
        <f>+aoe_2019!I27</f>
        <v>123220852.29121941</v>
      </c>
      <c r="M25" s="78">
        <f t="shared" si="1"/>
        <v>4742034650.336467</v>
      </c>
      <c r="N25" s="78">
        <f t="shared" si="2"/>
        <v>2371017325.1682334</v>
      </c>
      <c r="O25" s="79">
        <v>4.989053246286272</v>
      </c>
      <c r="P25" s="80" t="s">
        <v>43</v>
      </c>
      <c r="Q25" s="83">
        <f>SUM(Q26:Q27)</f>
        <v>1164758</v>
      </c>
      <c r="R25" s="71"/>
      <c r="S25" s="81">
        <f t="shared" si="3"/>
        <v>2237754560.7236214</v>
      </c>
      <c r="T25" s="62"/>
      <c r="U25" s="63"/>
      <c r="V25" s="63"/>
      <c r="W25" s="63"/>
      <c r="X25" s="13"/>
      <c r="Y25" s="13"/>
      <c r="Z25" s="13"/>
      <c r="AB25" s="56" t="s">
        <v>44</v>
      </c>
    </row>
    <row r="26" spans="1:28" ht="11.25" customHeight="1">
      <c r="A26" s="74" t="s">
        <v>81</v>
      </c>
      <c r="B26" s="75"/>
      <c r="C26" s="82" t="s">
        <v>82</v>
      </c>
      <c r="D26" s="77">
        <f>+$R$26*D25</f>
        <v>292823114.91052216</v>
      </c>
      <c r="E26" s="77">
        <f>+$R$26*E25</f>
        <v>124868963.03215775</v>
      </c>
      <c r="F26" s="77">
        <f t="shared" si="0"/>
        <v>417692077.9426799</v>
      </c>
      <c r="G26" s="77">
        <f>+aoe_2020!G28</f>
        <v>1385251495.668011</v>
      </c>
      <c r="H26" s="77">
        <f>+aoe_2020!H28</f>
        <v>620309346.8117648</v>
      </c>
      <c r="I26" s="77">
        <f>+aoe_2020!I28</f>
        <v>116448346.7874423</v>
      </c>
      <c r="J26" s="77">
        <f>+aoe_2019!G28</f>
        <v>1406646507.031609</v>
      </c>
      <c r="K26" s="77">
        <f>+aoe_2019!H28</f>
        <v>616769531.603163</v>
      </c>
      <c r="L26" s="77">
        <f>+aoe_2019!I28</f>
        <v>110006757.90472388</v>
      </c>
      <c r="M26" s="78">
        <f t="shared" si="1"/>
        <v>4255431985.806714</v>
      </c>
      <c r="N26" s="78">
        <f t="shared" si="2"/>
        <v>2127715992.903357</v>
      </c>
      <c r="O26" s="79">
        <v>5.093982158779044</v>
      </c>
      <c r="P26" s="80" t="s">
        <v>70</v>
      </c>
      <c r="Q26" s="84">
        <v>1084670</v>
      </c>
      <c r="R26" s="85">
        <f>+Q26/Q25</f>
        <v>0.9312406525647388</v>
      </c>
      <c r="S26" s="81">
        <f t="shared" si="3"/>
        <v>2127715992.903357</v>
      </c>
      <c r="T26" s="62"/>
      <c r="U26" s="63"/>
      <c r="V26" s="63"/>
      <c r="W26" s="63"/>
      <c r="X26" s="13"/>
      <c r="Y26" s="13"/>
      <c r="Z26" s="13"/>
      <c r="AB26" s="56" t="s">
        <v>44</v>
      </c>
    </row>
    <row r="27" spans="1:28" ht="11.25" customHeight="1">
      <c r="A27" s="74" t="s">
        <v>83</v>
      </c>
      <c r="B27" s="75"/>
      <c r="C27" s="82" t="s">
        <v>84</v>
      </c>
      <c r="D27" s="77">
        <f>+$R$27*D25</f>
        <v>21620970.089477815</v>
      </c>
      <c r="E27" s="77">
        <f>+$R$27*E25</f>
        <v>9219859.967842247</v>
      </c>
      <c r="F27" s="77">
        <f t="shared" si="0"/>
        <v>30840830.057320062</v>
      </c>
      <c r="G27" s="77">
        <f>+aoe_2020!G29</f>
        <v>150362664.33198908</v>
      </c>
      <c r="H27" s="77">
        <f>+aoe_2020!H29</f>
        <v>67331720.18823518</v>
      </c>
      <c r="I27" s="77">
        <f>+aoe_2020!I29</f>
        <v>12639931.257805016</v>
      </c>
      <c r="J27" s="77">
        <f>+aoe_2019!G29</f>
        <v>168967434.96839097</v>
      </c>
      <c r="K27" s="77">
        <f>+aoe_2019!H29</f>
        <v>74086819.39683698</v>
      </c>
      <c r="L27" s="77">
        <f>+aoe_2019!I29</f>
        <v>13214094.386495551</v>
      </c>
      <c r="M27" s="78">
        <f t="shared" si="1"/>
        <v>486602664.5297528</v>
      </c>
      <c r="N27" s="78">
        <f t="shared" si="2"/>
        <v>243301332.2648764</v>
      </c>
      <c r="O27" s="79">
        <v>4.484998889983944</v>
      </c>
      <c r="P27" s="80" t="s">
        <v>43</v>
      </c>
      <c r="Q27" s="84">
        <v>80088</v>
      </c>
      <c r="R27" s="85">
        <f>+Q27/Q25</f>
        <v>0.06875934743526123</v>
      </c>
      <c r="S27" s="81">
        <f t="shared" si="3"/>
        <v>138321088.57326394</v>
      </c>
      <c r="T27" s="62"/>
      <c r="U27" s="63"/>
      <c r="V27" s="63"/>
      <c r="W27" s="63"/>
      <c r="X27" s="13"/>
      <c r="Y27" s="13"/>
      <c r="Z27" s="13"/>
      <c r="AB27" s="56" t="s">
        <v>44</v>
      </c>
    </row>
    <row r="28" spans="1:28" ht="11.25" customHeight="1">
      <c r="A28" s="74" t="s">
        <v>85</v>
      </c>
      <c r="B28" s="75"/>
      <c r="C28" s="82" t="s">
        <v>86</v>
      </c>
      <c r="D28" s="77">
        <f>+D29+D32</f>
        <v>16011213704</v>
      </c>
      <c r="E28" s="77">
        <f>+E29+E32</f>
        <v>693324901</v>
      </c>
      <c r="F28" s="77">
        <f t="shared" si="0"/>
        <v>16704538605</v>
      </c>
      <c r="G28" s="77">
        <f>+aoe_2020!G30</f>
        <v>12375855516</v>
      </c>
      <c r="H28" s="77">
        <f>+aoe_2020!H30</f>
        <v>1663743452</v>
      </c>
      <c r="I28" s="77">
        <f>+aoe_2020!I30</f>
        <v>1607990245.8482244</v>
      </c>
      <c r="J28" s="77">
        <f>+aoe_2019!G30</f>
        <v>12954902123</v>
      </c>
      <c r="K28" s="77">
        <f>+aoe_2019!H30</f>
        <v>1637953011</v>
      </c>
      <c r="L28" s="77">
        <f>+aoe_2019!I30</f>
        <v>1652388166.501853</v>
      </c>
      <c r="M28" s="78">
        <f>SUM(G28:L28)</f>
        <v>31892832514.35008</v>
      </c>
      <c r="N28" s="78">
        <f t="shared" si="2"/>
        <v>15946416257.17504</v>
      </c>
      <c r="O28" s="79">
        <v>0.7466616256294768</v>
      </c>
      <c r="P28" s="80" t="s">
        <v>43</v>
      </c>
      <c r="Q28" s="88"/>
      <c r="R28" s="85"/>
      <c r="S28" s="81">
        <f t="shared" si="3"/>
        <v>12472637950.199652</v>
      </c>
      <c r="T28" s="62"/>
      <c r="U28" s="63"/>
      <c r="V28" s="63"/>
      <c r="W28" s="63"/>
      <c r="X28" s="13"/>
      <c r="Y28" s="13"/>
      <c r="Z28" s="13"/>
      <c r="AB28" s="56" t="s">
        <v>44</v>
      </c>
    </row>
    <row r="29" spans="1:28" ht="11.25" customHeight="1">
      <c r="A29" s="74" t="s">
        <v>87</v>
      </c>
      <c r="B29" s="75"/>
      <c r="C29" s="76" t="s">
        <v>88</v>
      </c>
      <c r="D29" s="77">
        <v>9284964007</v>
      </c>
      <c r="E29" s="77">
        <v>649312630</v>
      </c>
      <c r="F29" s="77">
        <f t="shared" si="0"/>
        <v>9934276637</v>
      </c>
      <c r="G29" s="77">
        <f>+aoe_2020!G31</f>
        <v>11956187365</v>
      </c>
      <c r="H29" s="77">
        <f>+aoe_2020!H31</f>
        <v>1626136174</v>
      </c>
      <c r="I29" s="77">
        <f>+aoe_2020!I31</f>
        <v>1303735150.9874203</v>
      </c>
      <c r="J29" s="77">
        <f>+aoe_2019!G31</f>
        <v>12660809596</v>
      </c>
      <c r="K29" s="77">
        <f>+aoe_2019!H31</f>
        <v>1604384906</v>
      </c>
      <c r="L29" s="77">
        <f>+aoe_2019!I31</f>
        <v>1350703244.2564864</v>
      </c>
      <c r="M29" s="78">
        <f t="shared" si="1"/>
        <v>30501956436.243904</v>
      </c>
      <c r="N29" s="78">
        <f t="shared" si="2"/>
        <v>15250978218.121952</v>
      </c>
      <c r="O29" s="79">
        <v>1.2289421602119517</v>
      </c>
      <c r="P29" s="80" t="s">
        <v>59</v>
      </c>
      <c r="Q29" s="71"/>
      <c r="R29" s="71"/>
      <c r="S29" s="81">
        <f t="shared" si="3"/>
        <v>12208651390.417902</v>
      </c>
      <c r="T29" s="62"/>
      <c r="U29" s="63"/>
      <c r="V29" s="63"/>
      <c r="W29" s="63"/>
      <c r="X29" s="13"/>
      <c r="Y29" s="13"/>
      <c r="Z29" s="13"/>
      <c r="AB29" s="56" t="s">
        <v>44</v>
      </c>
    </row>
    <row r="30" spans="1:28" ht="11.25" customHeight="1">
      <c r="A30" s="74" t="s">
        <v>89</v>
      </c>
      <c r="B30" s="75"/>
      <c r="C30" s="76" t="s">
        <v>90</v>
      </c>
      <c r="D30" s="77">
        <f>+D31+D33</f>
        <v>3569387185</v>
      </c>
      <c r="E30" s="77">
        <f>+E31+E33</f>
        <v>382564727</v>
      </c>
      <c r="F30" s="77">
        <f>D30+E30</f>
        <v>3951951912</v>
      </c>
      <c r="G30" s="77">
        <f>+aoe_2020!G32</f>
        <v>5967103745</v>
      </c>
      <c r="H30" s="77">
        <f>+aoe_2020!H32</f>
        <v>705507853</v>
      </c>
      <c r="I30" s="77">
        <f>+aoe_2020!I32</f>
        <v>278444554.4944256</v>
      </c>
      <c r="J30" s="77">
        <f>+aoe_2019!G32</f>
        <v>5085066674</v>
      </c>
      <c r="K30" s="77">
        <f>+aoe_2019!H32</f>
        <v>628583625</v>
      </c>
      <c r="L30" s="77">
        <f>+aoe_2019!I32</f>
        <v>258969968.325914</v>
      </c>
      <c r="M30" s="78">
        <f>SUM(G30:L30)</f>
        <v>12923676419.820341</v>
      </c>
      <c r="N30" s="78">
        <f>+M30/2</f>
        <v>6461838209.910171</v>
      </c>
      <c r="O30" s="79">
        <v>1.4587109121430526</v>
      </c>
      <c r="P30" s="80" t="s">
        <v>43</v>
      </c>
      <c r="Q30" s="71"/>
      <c r="R30" s="71"/>
      <c r="S30" s="81">
        <f t="shared" si="3"/>
        <v>5764755378.299001</v>
      </c>
      <c r="T30" s="62"/>
      <c r="U30" s="63"/>
      <c r="V30" s="63"/>
      <c r="W30" s="63"/>
      <c r="X30" s="13"/>
      <c r="Y30" s="13"/>
      <c r="Z30" s="13"/>
      <c r="AB30" s="56" t="s">
        <v>44</v>
      </c>
    </row>
    <row r="31" spans="1:28" ht="11.25" customHeight="1">
      <c r="A31" s="74" t="s">
        <v>91</v>
      </c>
      <c r="B31" s="75"/>
      <c r="C31" s="76" t="s">
        <v>92</v>
      </c>
      <c r="D31" s="77">
        <v>3052389783</v>
      </c>
      <c r="E31" s="77">
        <v>367971875</v>
      </c>
      <c r="F31" s="77">
        <f t="shared" si="0"/>
        <v>3420361658</v>
      </c>
      <c r="G31" s="77">
        <f>+aoe_2020!G33</f>
        <v>5786190680</v>
      </c>
      <c r="H31" s="77">
        <f>+aoe_2020!H33</f>
        <v>686979745</v>
      </c>
      <c r="I31" s="77">
        <f>+aoe_2020!I33</f>
        <v>253148545.4906461</v>
      </c>
      <c r="J31" s="77">
        <f>+aoe_2019!G33</f>
        <v>4925377060</v>
      </c>
      <c r="K31" s="77">
        <f>+aoe_2019!H33</f>
        <v>609811944</v>
      </c>
      <c r="L31" s="77">
        <f>+aoe_2019!I33</f>
        <v>233727239.64194742</v>
      </c>
      <c r="M31" s="78">
        <f t="shared" si="1"/>
        <v>12495235214.132593</v>
      </c>
      <c r="N31" s="78">
        <f t="shared" si="2"/>
        <v>6247617607.066297</v>
      </c>
      <c r="O31" s="79">
        <v>1.6737264255562208</v>
      </c>
      <c r="P31" s="80" t="s">
        <v>43</v>
      </c>
      <c r="Q31" s="71"/>
      <c r="R31" s="71"/>
      <c r="S31" s="81">
        <f t="shared" si="3"/>
        <v>5724749691.953889</v>
      </c>
      <c r="T31" s="62"/>
      <c r="U31" s="63"/>
      <c r="V31" s="63"/>
      <c r="W31" s="63"/>
      <c r="X31" s="13"/>
      <c r="Y31" s="13"/>
      <c r="Z31" s="13"/>
      <c r="AB31" s="56" t="s">
        <v>44</v>
      </c>
    </row>
    <row r="32" spans="1:28" ht="11.25" customHeight="1">
      <c r="A32" s="74" t="s">
        <v>93</v>
      </c>
      <c r="B32" s="75"/>
      <c r="C32" s="76" t="s">
        <v>94</v>
      </c>
      <c r="D32" s="77">
        <v>6726249697</v>
      </c>
      <c r="E32" s="77">
        <v>44012271</v>
      </c>
      <c r="F32" s="77">
        <f t="shared" si="0"/>
        <v>6770261968</v>
      </c>
      <c r="G32" s="77">
        <f>+aoe_2020!G34</f>
        <v>419668151</v>
      </c>
      <c r="H32" s="77">
        <f>+aoe_2020!H34</f>
        <v>37607278</v>
      </c>
      <c r="I32" s="77">
        <f>+aoe_2020!I34</f>
        <v>234426008.1666836</v>
      </c>
      <c r="J32" s="77">
        <f>+aoe_2019!G34</f>
        <v>294092527</v>
      </c>
      <c r="K32" s="77">
        <f>+aoe_2019!H34</f>
        <v>33568105</v>
      </c>
      <c r="L32" s="77">
        <f>+aoe_2019!I34</f>
        <v>179450970.52225488</v>
      </c>
      <c r="M32" s="78">
        <f t="shared" si="1"/>
        <v>1198813039.6889386</v>
      </c>
      <c r="N32" s="78">
        <f t="shared" si="2"/>
        <v>599406519.8444693</v>
      </c>
      <c r="O32" s="79">
        <v>0.07309859769299859</v>
      </c>
      <c r="P32" s="80" t="s">
        <v>43</v>
      </c>
      <c r="Q32" s="71"/>
      <c r="R32" s="71"/>
      <c r="S32" s="81">
        <f t="shared" si="3"/>
        <v>494896655.8750409</v>
      </c>
      <c r="T32" s="62"/>
      <c r="U32" s="63"/>
      <c r="V32" s="63"/>
      <c r="W32" s="63"/>
      <c r="X32" s="13"/>
      <c r="Y32" s="13"/>
      <c r="Z32" s="13"/>
      <c r="AB32" s="56" t="s">
        <v>44</v>
      </c>
    </row>
    <row r="33" spans="1:28" ht="11.25" customHeight="1">
      <c r="A33" s="74" t="s">
        <v>95</v>
      </c>
      <c r="B33" s="75"/>
      <c r="C33" s="76" t="s">
        <v>96</v>
      </c>
      <c r="D33" s="77">
        <v>516997402</v>
      </c>
      <c r="E33" s="77">
        <v>14592852</v>
      </c>
      <c r="F33" s="77">
        <f t="shared" si="0"/>
        <v>531590254</v>
      </c>
      <c r="G33" s="77">
        <f>+aoe_2020!G35</f>
        <v>180913065</v>
      </c>
      <c r="H33" s="77">
        <f>+aoe_2020!H35</f>
        <v>18528108</v>
      </c>
      <c r="I33" s="77">
        <f>+aoe_2020!I35</f>
        <v>25741091.335037272</v>
      </c>
      <c r="J33" s="77">
        <f>+aoe_2019!G35</f>
        <v>159689614</v>
      </c>
      <c r="K33" s="77">
        <f>+aoe_2019!H35</f>
        <v>18771681</v>
      </c>
      <c r="L33" s="77">
        <f>+aoe_2019!I35</f>
        <v>25337873.058319125</v>
      </c>
      <c r="M33" s="78">
        <f t="shared" si="1"/>
        <v>428981432.3933564</v>
      </c>
      <c r="N33" s="78">
        <f t="shared" si="2"/>
        <v>214490716.1966782</v>
      </c>
      <c r="O33" s="79">
        <v>0.3116197069985335</v>
      </c>
      <c r="P33" s="80" t="s">
        <v>43</v>
      </c>
      <c r="Q33" s="71"/>
      <c r="R33" s="71"/>
      <c r="S33" s="81">
        <f t="shared" si="3"/>
        <v>165653999.194756</v>
      </c>
      <c r="T33" s="62"/>
      <c r="U33" s="63"/>
      <c r="V33" s="63"/>
      <c r="W33" s="63"/>
      <c r="X33" s="13"/>
      <c r="Y33" s="13"/>
      <c r="Z33" s="13"/>
      <c r="AB33" s="56" t="s">
        <v>44</v>
      </c>
    </row>
    <row r="34" spans="1:28" ht="11.25" customHeight="1">
      <c r="A34" s="74" t="s">
        <v>97</v>
      </c>
      <c r="B34" s="75"/>
      <c r="C34" s="76" t="s">
        <v>98</v>
      </c>
      <c r="D34" s="77">
        <v>156077004</v>
      </c>
      <c r="E34" s="77">
        <v>20285556</v>
      </c>
      <c r="F34" s="77">
        <f t="shared" si="0"/>
        <v>176362560</v>
      </c>
      <c r="G34" s="77">
        <f>+aoe_2020!G36</f>
        <v>219865613</v>
      </c>
      <c r="H34" s="77">
        <f>+aoe_2020!H36</f>
        <v>32185802</v>
      </c>
      <c r="I34" s="77">
        <f>+aoe_2020!I36</f>
        <v>10215751.015592076</v>
      </c>
      <c r="J34" s="77">
        <f>+aoe_2019!G36</f>
        <v>153229538</v>
      </c>
      <c r="K34" s="77">
        <f>+aoe_2019!H36</f>
        <v>29914982</v>
      </c>
      <c r="L34" s="77">
        <f>+aoe_2019!I36</f>
        <v>8760183.530295117</v>
      </c>
      <c r="M34" s="78">
        <f t="shared" si="1"/>
        <v>454171869.54588723</v>
      </c>
      <c r="N34" s="78">
        <f t="shared" si="2"/>
        <v>227085934.77294362</v>
      </c>
      <c r="O34" s="79">
        <v>1.532093104182432</v>
      </c>
      <c r="P34" s="80" t="s">
        <v>99</v>
      </c>
      <c r="Q34" s="71"/>
      <c r="R34" s="71"/>
      <c r="S34" s="81">
        <f t="shared" si="3"/>
        <v>270203862.0119604</v>
      </c>
      <c r="T34" s="62"/>
      <c r="U34" s="63"/>
      <c r="V34" s="63"/>
      <c r="W34" s="63"/>
      <c r="X34" s="13"/>
      <c r="Y34" s="13"/>
      <c r="Z34" s="13"/>
      <c r="AB34" s="56" t="s">
        <v>44</v>
      </c>
    </row>
    <row r="35" spans="1:28" ht="11.25" customHeight="1">
      <c r="A35" s="74" t="s">
        <v>100</v>
      </c>
      <c r="B35" s="75"/>
      <c r="C35" s="76" t="s">
        <v>101</v>
      </c>
      <c r="D35" s="77">
        <v>72331821</v>
      </c>
      <c r="E35" s="77">
        <v>-2382879</v>
      </c>
      <c r="F35" s="77">
        <f t="shared" si="0"/>
        <v>69948942</v>
      </c>
      <c r="G35" s="77">
        <f>+aoe_2020!G37</f>
        <v>131128139</v>
      </c>
      <c r="H35" s="77">
        <f>+aoe_2020!H37</f>
        <v>13558939</v>
      </c>
      <c r="I35" s="77">
        <f>+aoe_2020!I37</f>
        <v>9308246.96583411</v>
      </c>
      <c r="J35" s="77">
        <f>+aoe_2019!G37</f>
        <v>110693953</v>
      </c>
      <c r="K35" s="77">
        <f>+aoe_2019!H37</f>
        <v>18082717</v>
      </c>
      <c r="L35" s="77">
        <f>+aoe_2019!I37</f>
        <v>9973318.777788837</v>
      </c>
      <c r="M35" s="78">
        <f t="shared" si="1"/>
        <v>292745313.74362296</v>
      </c>
      <c r="N35" s="78">
        <f t="shared" si="2"/>
        <v>146372656.87181148</v>
      </c>
      <c r="O35" s="79">
        <v>2.6569693326058865</v>
      </c>
      <c r="P35" s="80" t="s">
        <v>43</v>
      </c>
      <c r="Q35" s="71"/>
      <c r="R35" s="71"/>
      <c r="S35" s="81">
        <f t="shared" si="3"/>
        <v>185852193.74222785</v>
      </c>
      <c r="T35" s="62"/>
      <c r="U35" s="63"/>
      <c r="V35" s="63"/>
      <c r="W35" s="63"/>
      <c r="X35" s="13"/>
      <c r="Y35" s="13"/>
      <c r="Z35" s="13"/>
      <c r="AB35" s="56" t="s">
        <v>44</v>
      </c>
    </row>
    <row r="36" spans="1:28" ht="11.25" customHeight="1">
      <c r="A36" s="74" t="s">
        <v>102</v>
      </c>
      <c r="B36" s="75"/>
      <c r="C36" s="76" t="s">
        <v>103</v>
      </c>
      <c r="D36" s="77">
        <v>198216358</v>
      </c>
      <c r="E36" s="77">
        <v>22260266</v>
      </c>
      <c r="F36" s="77">
        <f t="shared" si="0"/>
        <v>220476624</v>
      </c>
      <c r="G36" s="77">
        <f>+aoe_2020!G38</f>
        <v>421208614</v>
      </c>
      <c r="H36" s="77">
        <f>+aoe_2020!H38</f>
        <v>61060784</v>
      </c>
      <c r="I36" s="77">
        <f>+aoe_2020!I38</f>
        <v>35492273.034110285</v>
      </c>
      <c r="J36" s="77">
        <f>+aoe_2019!G38</f>
        <v>360433123</v>
      </c>
      <c r="K36" s="77">
        <f>+aoe_2019!H38</f>
        <v>56090545</v>
      </c>
      <c r="L36" s="77">
        <f>+aoe_2019!I38</f>
        <v>31718530.075734016</v>
      </c>
      <c r="M36" s="78">
        <f t="shared" si="1"/>
        <v>966003869.1098443</v>
      </c>
      <c r="N36" s="78">
        <f t="shared" si="2"/>
        <v>483001934.55492216</v>
      </c>
      <c r="O36" s="79">
        <v>3.2689752038350917</v>
      </c>
      <c r="P36" s="80" t="s">
        <v>43</v>
      </c>
      <c r="Q36" s="71"/>
      <c r="R36" s="71"/>
      <c r="S36" s="81">
        <f t="shared" si="3"/>
        <v>720732616.8812729</v>
      </c>
      <c r="T36" s="62"/>
      <c r="U36" s="63"/>
      <c r="V36" s="63"/>
      <c r="W36" s="63"/>
      <c r="X36" s="13"/>
      <c r="Y36" s="13"/>
      <c r="Z36" s="13"/>
      <c r="AB36" s="56" t="s">
        <v>44</v>
      </c>
    </row>
    <row r="37" spans="1:28" ht="11.25" customHeight="1">
      <c r="A37" s="74" t="s">
        <v>104</v>
      </c>
      <c r="B37" s="75"/>
      <c r="C37" s="76" t="s">
        <v>105</v>
      </c>
      <c r="D37" s="77">
        <v>38362363</v>
      </c>
      <c r="E37" s="77">
        <v>1188201</v>
      </c>
      <c r="F37" s="77">
        <f t="shared" si="0"/>
        <v>39550564</v>
      </c>
      <c r="G37" s="77">
        <f>+aoe_2020!G39</f>
        <v>34461807</v>
      </c>
      <c r="H37" s="77">
        <f>+aoe_2020!H39</f>
        <v>3749252</v>
      </c>
      <c r="I37" s="77">
        <f>+aoe_2020!I39</f>
        <v>2560846.391511299</v>
      </c>
      <c r="J37" s="77">
        <f>+aoe_2019!G39</f>
        <v>21364161</v>
      </c>
      <c r="K37" s="77">
        <f>+aoe_2019!H39</f>
        <v>3341388</v>
      </c>
      <c r="L37" s="77">
        <f>+aoe_2019!I39</f>
        <v>2235753.420981449</v>
      </c>
      <c r="M37" s="78">
        <f t="shared" si="1"/>
        <v>67713207.81249274</v>
      </c>
      <c r="N37" s="78">
        <f t="shared" si="2"/>
        <v>33856603.90624637</v>
      </c>
      <c r="O37" s="86">
        <v>0.6942320297933339</v>
      </c>
      <c r="P37" s="80" t="s">
        <v>106</v>
      </c>
      <c r="Q37" s="71"/>
      <c r="R37" s="71"/>
      <c r="S37" s="81">
        <f t="shared" si="3"/>
        <v>27457268.32519116</v>
      </c>
      <c r="T37" s="62" t="str">
        <f>+C37</f>
        <v>BRGLRY THEFT **</v>
      </c>
      <c r="U37" s="73">
        <f>SUM(U8:U17)</f>
        <v>5716653621.563927</v>
      </c>
      <c r="V37" s="73">
        <f>SUM(V8:V17)</f>
        <v>4117249980</v>
      </c>
      <c r="W37" s="89">
        <f>0.5*(+U37/V37)</f>
        <v>0.6942320297933339</v>
      </c>
      <c r="X37" s="13"/>
      <c r="Y37" s="13"/>
      <c r="Z37" s="13"/>
      <c r="AB37" s="56" t="s">
        <v>44</v>
      </c>
    </row>
    <row r="38" spans="1:28" ht="11.25" customHeight="1">
      <c r="A38" s="74" t="s">
        <v>107</v>
      </c>
      <c r="B38" s="75"/>
      <c r="C38" s="76" t="s">
        <v>108</v>
      </c>
      <c r="D38" s="77">
        <v>62333841</v>
      </c>
      <c r="E38" s="77">
        <v>18199223</v>
      </c>
      <c r="F38" s="77">
        <f t="shared" si="0"/>
        <v>80533064</v>
      </c>
      <c r="G38" s="77">
        <f>+aoe_2020!G40</f>
        <v>63858885</v>
      </c>
      <c r="H38" s="77">
        <f>+aoe_2020!H40</f>
        <v>19384800</v>
      </c>
      <c r="I38" s="77">
        <f>+aoe_2020!I40</f>
        <v>2679013.6642504935</v>
      </c>
      <c r="J38" s="77">
        <f>+aoe_2019!G40</f>
        <v>78906124</v>
      </c>
      <c r="K38" s="77">
        <f>+aoe_2019!H40</f>
        <v>2052896</v>
      </c>
      <c r="L38" s="77">
        <f>+aoe_2019!I40</f>
        <v>3002183.5082550417</v>
      </c>
      <c r="M38" s="78">
        <f t="shared" si="1"/>
        <v>169883902.17250553</v>
      </c>
      <c r="N38" s="78">
        <f t="shared" si="2"/>
        <v>84941951.08625276</v>
      </c>
      <c r="O38" s="79">
        <v>1.3358894349054864</v>
      </c>
      <c r="P38" s="80" t="s">
        <v>59</v>
      </c>
      <c r="Q38" s="71"/>
      <c r="R38" s="71"/>
      <c r="S38" s="81">
        <f t="shared" si="3"/>
        <v>107583269.35816737</v>
      </c>
      <c r="T38" s="63"/>
      <c r="U38" s="63"/>
      <c r="V38" s="63"/>
      <c r="W38" s="63"/>
      <c r="X38" s="13"/>
      <c r="Y38" s="13"/>
      <c r="Z38" s="13"/>
      <c r="AB38" s="56" t="s">
        <v>44</v>
      </c>
    </row>
    <row r="39" spans="1:28" ht="11.25" customHeight="1">
      <c r="A39" s="74" t="s">
        <v>109</v>
      </c>
      <c r="B39" s="75"/>
      <c r="C39" s="76" t="s">
        <v>110</v>
      </c>
      <c r="D39" s="77">
        <v>124447495</v>
      </c>
      <c r="E39" s="77">
        <v>1131167</v>
      </c>
      <c r="F39" s="77">
        <f t="shared" si="0"/>
        <v>125578662</v>
      </c>
      <c r="G39" s="77">
        <f>+aoe_2020!G41</f>
        <v>96981625</v>
      </c>
      <c r="H39" s="77">
        <f>+aoe_2020!H41</f>
        <v>1940393</v>
      </c>
      <c r="I39" s="77">
        <f>+aoe_2020!I41</f>
        <v>2850610.940754106</v>
      </c>
      <c r="J39" s="77">
        <f>+aoe_2019!G41</f>
        <v>59109215</v>
      </c>
      <c r="K39" s="77">
        <f>+aoe_2019!H41</f>
        <v>2009428</v>
      </c>
      <c r="L39" s="77">
        <f>+aoe_2019!I41</f>
        <v>1958627.291663438</v>
      </c>
      <c r="M39" s="78">
        <f t="shared" si="1"/>
        <v>164849899.23241755</v>
      </c>
      <c r="N39" s="78">
        <f t="shared" si="2"/>
        <v>82424949.61620878</v>
      </c>
      <c r="O39" s="79">
        <v>0.8439574327924343</v>
      </c>
      <c r="P39" s="80" t="s">
        <v>99</v>
      </c>
      <c r="Q39" s="71"/>
      <c r="R39" s="71"/>
      <c r="S39" s="81">
        <f t="shared" si="3"/>
        <v>105983045.19502883</v>
      </c>
      <c r="T39" s="90"/>
      <c r="U39" s="90"/>
      <c r="V39" s="90"/>
      <c r="W39" s="90"/>
      <c r="X39" s="13"/>
      <c r="Y39" s="13"/>
      <c r="Z39" s="13"/>
      <c r="AB39" s="56" t="s">
        <v>44</v>
      </c>
    </row>
    <row r="40" spans="1:28" ht="11.25" customHeight="1">
      <c r="A40" s="74" t="s">
        <v>111</v>
      </c>
      <c r="B40" s="75"/>
      <c r="C40" s="76" t="s">
        <v>112</v>
      </c>
      <c r="D40" s="77">
        <v>92524456</v>
      </c>
      <c r="E40" s="77">
        <v>136797</v>
      </c>
      <c r="F40" s="77">
        <f t="shared" si="0"/>
        <v>92661253</v>
      </c>
      <c r="G40" s="77">
        <f>+aoe_2020!G42</f>
        <v>19604816</v>
      </c>
      <c r="H40" s="77">
        <f>+aoe_2020!H42</f>
        <v>32885</v>
      </c>
      <c r="I40" s="77">
        <f>+aoe_2020!I42</f>
        <v>1172476.0245230936</v>
      </c>
      <c r="J40" s="77">
        <f>+aoe_2019!G42</f>
        <v>15819137</v>
      </c>
      <c r="K40" s="77">
        <f>+aoe_2019!H42</f>
        <v>37659</v>
      </c>
      <c r="L40" s="77">
        <f>+aoe_2019!I42</f>
        <v>279501.67366579594</v>
      </c>
      <c r="M40" s="78">
        <f t="shared" si="1"/>
        <v>36946474.69818889</v>
      </c>
      <c r="N40" s="78">
        <f t="shared" si="2"/>
        <v>18473237.349094447</v>
      </c>
      <c r="O40" s="79">
        <v>0.19936312915058949</v>
      </c>
      <c r="P40" s="80" t="s">
        <v>70</v>
      </c>
      <c r="Q40" s="71"/>
      <c r="R40" s="71"/>
      <c r="S40" s="81">
        <f t="shared" si="3"/>
        <v>18473237.349094447</v>
      </c>
      <c r="T40" s="90"/>
      <c r="U40" s="90"/>
      <c r="V40" s="90"/>
      <c r="W40" s="90"/>
      <c r="X40" s="13"/>
      <c r="Y40" s="13"/>
      <c r="Z40" s="13"/>
      <c r="AB40" s="56" t="s">
        <v>44</v>
      </c>
    </row>
    <row r="41" spans="1:28" ht="11.25" customHeight="1" thickBot="1">
      <c r="A41" s="91" t="s">
        <v>113</v>
      </c>
      <c r="B41" s="92"/>
      <c r="C41" s="93" t="s">
        <v>114</v>
      </c>
      <c r="D41" s="94">
        <v>71268531</v>
      </c>
      <c r="E41" s="94">
        <v>2391417</v>
      </c>
      <c r="F41" s="94">
        <f t="shared" si="0"/>
        <v>73659948</v>
      </c>
      <c r="G41" s="94">
        <f>+aoe_2020!G43</f>
        <v>93714537</v>
      </c>
      <c r="H41" s="94">
        <f>+aoe_2020!H43</f>
        <v>6194717</v>
      </c>
      <c r="I41" s="94">
        <f>+aoe_2020!I43</f>
        <v>1080711691.8595226</v>
      </c>
      <c r="J41" s="94">
        <f>+aoe_2019!G43</f>
        <v>66797904</v>
      </c>
      <c r="K41" s="94">
        <f>+aoe_2019!H43</f>
        <v>4722232</v>
      </c>
      <c r="L41" s="94">
        <f>+aoe_2019!I43</f>
        <v>-14070358.180688832</v>
      </c>
      <c r="M41" s="95">
        <f t="shared" si="1"/>
        <v>1238070723.6788337</v>
      </c>
      <c r="N41" s="95">
        <f t="shared" si="2"/>
        <v>619035361.8394169</v>
      </c>
      <c r="O41" s="400">
        <v>3.864402256845207</v>
      </c>
      <c r="P41" s="96" t="s">
        <v>43</v>
      </c>
      <c r="Q41" s="71"/>
      <c r="R41" s="71"/>
      <c r="S41" s="81">
        <f t="shared" si="3"/>
        <v>284651669.2903006</v>
      </c>
      <c r="AB41" s="56" t="s">
        <v>44</v>
      </c>
    </row>
    <row r="42" spans="1:28" ht="3" customHeight="1" thickBot="1">
      <c r="A42" s="97"/>
      <c r="B42" s="97"/>
      <c r="C42" s="98"/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100"/>
      <c r="O42" s="101"/>
      <c r="P42" s="102"/>
      <c r="Q42" s="71"/>
      <c r="R42" s="71"/>
      <c r="S42" s="81"/>
      <c r="AB42" s="56"/>
    </row>
    <row r="43" spans="1:28" s="113" customFormat="1" ht="12.75" customHeight="1" thickBot="1">
      <c r="A43" s="103"/>
      <c r="B43" s="104"/>
      <c r="C43" s="105" t="s">
        <v>115</v>
      </c>
      <c r="D43" s="106">
        <f>SUM(D8:D41)-D14-D18-D22-D25-D28-D30</f>
        <v>40295483422</v>
      </c>
      <c r="E43" s="106">
        <f>SUM(E8:E41)-E14-E18-E22-E25-E28-E30</f>
        <v>3880991971</v>
      </c>
      <c r="F43" s="106">
        <f t="shared" si="0"/>
        <v>44176475393</v>
      </c>
      <c r="G43" s="106">
        <f>+aoe_2020!G45</f>
        <v>59612435945</v>
      </c>
      <c r="H43" s="106">
        <f>+aoe_2020!H45</f>
        <v>9891313115</v>
      </c>
      <c r="I43" s="106">
        <f>+aoe_2020!I45</f>
        <v>4319932320.344733</v>
      </c>
      <c r="J43" s="106">
        <f>+aoe_2019!G45</f>
        <v>54176339567</v>
      </c>
      <c r="K43" s="106">
        <f>+aoe_2019!H45</f>
        <v>9280417420</v>
      </c>
      <c r="L43" s="106">
        <f>+aoe_2019!I45</f>
        <v>4151045252.9739647</v>
      </c>
      <c r="M43" s="107">
        <f t="shared" si="1"/>
        <v>141431483620.3187</v>
      </c>
      <c r="N43" s="107">
        <f t="shared" si="2"/>
        <v>70715741810.15935</v>
      </c>
      <c r="O43" s="108">
        <v>1.611709573158863</v>
      </c>
      <c r="P43" s="109"/>
      <c r="Q43" s="110"/>
      <c r="R43" s="111"/>
      <c r="S43" s="112">
        <f>SUM(S8:S41)-S14-S18-S22-S25-S28-S30</f>
        <v>66637524723.78538</v>
      </c>
      <c r="T43" s="113" t="s">
        <v>116</v>
      </c>
      <c r="AB43" s="56" t="s">
        <v>44</v>
      </c>
    </row>
    <row r="44" spans="1:19" ht="5.25" customHeight="1">
      <c r="A44" s="57"/>
      <c r="B44" s="57"/>
      <c r="C44" s="57"/>
      <c r="D44" s="114"/>
      <c r="E44" s="114"/>
      <c r="F44" s="114"/>
      <c r="G44" s="115"/>
      <c r="H44" s="115"/>
      <c r="I44" s="116"/>
      <c r="J44" s="115"/>
      <c r="K44" s="115"/>
      <c r="L44" s="117"/>
      <c r="M44" s="117"/>
      <c r="N44" s="117"/>
      <c r="O44" s="118"/>
      <c r="P44" s="118"/>
      <c r="Q44" s="57"/>
      <c r="R44" s="57"/>
      <c r="S44" s="119"/>
    </row>
    <row r="45" spans="1:19" ht="9.75" customHeight="1">
      <c r="A45" s="120" t="s">
        <v>117</v>
      </c>
      <c r="B45" s="120" t="s">
        <v>44</v>
      </c>
      <c r="C45" s="121" t="s">
        <v>118</v>
      </c>
      <c r="D45" s="122"/>
      <c r="E45" s="122"/>
      <c r="F45" s="122"/>
      <c r="G45" s="123"/>
      <c r="H45" s="123"/>
      <c r="I45" s="123"/>
      <c r="J45" s="124"/>
      <c r="K45" s="125"/>
      <c r="L45" s="125"/>
      <c r="M45" s="125"/>
      <c r="N45" s="125"/>
      <c r="O45" s="126"/>
      <c r="P45" s="126"/>
      <c r="Q45" s="57"/>
      <c r="R45" s="57"/>
      <c r="S45" s="112"/>
    </row>
    <row r="46" spans="1:19" ht="9.75" customHeight="1">
      <c r="A46" s="57"/>
      <c r="B46" s="120" t="s">
        <v>106</v>
      </c>
      <c r="C46" s="123" t="s">
        <v>119</v>
      </c>
      <c r="D46" s="122"/>
      <c r="E46" s="122"/>
      <c r="F46" s="122"/>
      <c r="G46" s="123"/>
      <c r="H46" s="123"/>
      <c r="I46" s="123"/>
      <c r="J46" s="124"/>
      <c r="K46" s="125"/>
      <c r="L46" s="125"/>
      <c r="M46" s="125"/>
      <c r="N46" s="125"/>
      <c r="O46" s="126"/>
      <c r="P46" s="126"/>
      <c r="Q46" s="57"/>
      <c r="R46" s="57"/>
      <c r="S46" s="127"/>
    </row>
    <row r="47" spans="2:14" ht="9.75" customHeight="1">
      <c r="B47" s="120" t="s">
        <v>99</v>
      </c>
      <c r="C47" s="408" t="s">
        <v>120</v>
      </c>
      <c r="D47" s="408"/>
      <c r="E47" s="408"/>
      <c r="F47" s="408"/>
      <c r="G47" s="408"/>
      <c r="H47" s="408"/>
      <c r="J47" s="128"/>
      <c r="K47" s="128"/>
      <c r="L47" s="128"/>
      <c r="M47" s="128"/>
      <c r="N47" s="128"/>
    </row>
    <row r="48" spans="2:14" ht="9.75" customHeight="1">
      <c r="B48" s="120" t="s">
        <v>59</v>
      </c>
      <c r="C48" s="409" t="s">
        <v>121</v>
      </c>
      <c r="D48" s="409"/>
      <c r="E48" s="409"/>
      <c r="F48" s="409"/>
      <c r="G48" s="409"/>
      <c r="H48" s="409"/>
      <c r="J48" s="128"/>
      <c r="K48" s="128"/>
      <c r="L48" s="128"/>
      <c r="M48" s="128"/>
      <c r="N48" s="128"/>
    </row>
    <row r="49" spans="2:16" ht="9.75" customHeight="1">
      <c r="B49" s="120" t="s">
        <v>43</v>
      </c>
      <c r="C49" s="409" t="s">
        <v>122</v>
      </c>
      <c r="D49" s="409"/>
      <c r="E49" s="409"/>
      <c r="F49" s="409"/>
      <c r="G49" s="409"/>
      <c r="H49" s="409"/>
      <c r="I49"/>
      <c r="J49"/>
      <c r="K49"/>
      <c r="L49"/>
      <c r="M49"/>
      <c r="N49"/>
      <c r="O49"/>
      <c r="P49"/>
    </row>
    <row r="50" spans="2:14" ht="9.75" customHeight="1">
      <c r="B50" s="409" t="s">
        <v>123</v>
      </c>
      <c r="C50" s="409"/>
      <c r="D50" s="409"/>
      <c r="E50" s="409"/>
      <c r="F50" s="409"/>
      <c r="G50" s="409"/>
      <c r="J50" s="128"/>
      <c r="K50" s="128"/>
      <c r="L50" s="128"/>
      <c r="M50" s="128"/>
      <c r="N50" s="128"/>
    </row>
    <row r="51" spans="10:14" ht="14.25">
      <c r="J51" s="128"/>
      <c r="K51" s="128"/>
      <c r="L51" s="128"/>
      <c r="M51" s="128"/>
      <c r="N51" s="128"/>
    </row>
    <row r="52" spans="10:14" ht="14.25">
      <c r="J52" s="128"/>
      <c r="K52" s="128"/>
      <c r="L52" s="128"/>
      <c r="M52" s="128"/>
      <c r="N52" s="128"/>
    </row>
    <row r="53" spans="10:14" ht="14.25">
      <c r="J53" s="128"/>
      <c r="K53" s="128"/>
      <c r="L53" s="128"/>
      <c r="M53" s="128"/>
      <c r="N53" s="128"/>
    </row>
    <row r="54" spans="10:14" ht="14.25">
      <c r="J54" s="128"/>
      <c r="K54" s="128"/>
      <c r="L54" s="128"/>
      <c r="M54" s="128"/>
      <c r="N54" s="128"/>
    </row>
    <row r="55" spans="10:14" ht="14.25">
      <c r="J55" s="128"/>
      <c r="K55" s="128"/>
      <c r="L55" s="128"/>
      <c r="M55" s="128"/>
      <c r="N55" s="128"/>
    </row>
    <row r="56" spans="10:14" ht="14.25">
      <c r="J56" s="128"/>
      <c r="K56" s="128"/>
      <c r="L56" s="128"/>
      <c r="M56" s="128"/>
      <c r="N56" s="128"/>
    </row>
    <row r="57" spans="10:14" ht="14.25">
      <c r="J57" s="128"/>
      <c r="K57" s="128"/>
      <c r="L57" s="128"/>
      <c r="M57" s="128"/>
      <c r="N57" s="128"/>
    </row>
    <row r="58" spans="10:14" ht="14.25">
      <c r="J58" s="128"/>
      <c r="K58" s="128"/>
      <c r="L58" s="128"/>
      <c r="M58" s="128"/>
      <c r="N58" s="128"/>
    </row>
    <row r="59" spans="10:14" ht="14.25">
      <c r="J59" s="128"/>
      <c r="K59" s="128"/>
      <c r="L59" s="128"/>
      <c r="M59" s="128"/>
      <c r="N59" s="128"/>
    </row>
    <row r="60" spans="10:14" ht="14.25">
      <c r="J60" s="128"/>
      <c r="K60" s="128"/>
      <c r="L60" s="128"/>
      <c r="M60" s="128"/>
      <c r="N60" s="128"/>
    </row>
    <row r="61" spans="10:14" ht="14.25">
      <c r="J61" s="128"/>
      <c r="K61" s="128"/>
      <c r="L61" s="128"/>
      <c r="M61" s="128"/>
      <c r="N61" s="128"/>
    </row>
    <row r="62" spans="10:14" ht="14.25">
      <c r="J62" s="128"/>
      <c r="K62" s="128"/>
      <c r="L62" s="128"/>
      <c r="M62" s="128"/>
      <c r="N62" s="128"/>
    </row>
    <row r="63" spans="10:14" ht="14.25">
      <c r="J63" s="128"/>
      <c r="K63" s="128"/>
      <c r="L63" s="128"/>
      <c r="M63" s="128"/>
      <c r="N63" s="128"/>
    </row>
    <row r="64" spans="10:14" ht="14.25">
      <c r="J64" s="128"/>
      <c r="K64" s="128"/>
      <c r="L64" s="128"/>
      <c r="M64" s="128"/>
      <c r="N64" s="128"/>
    </row>
    <row r="65" spans="10:14" ht="14.25">
      <c r="J65" s="128"/>
      <c r="K65" s="128"/>
      <c r="L65" s="128"/>
      <c r="M65" s="128"/>
      <c r="N65" s="128"/>
    </row>
    <row r="66" spans="10:14" ht="14.25">
      <c r="J66" s="128"/>
      <c r="K66" s="128"/>
      <c r="L66" s="128"/>
      <c r="M66" s="128"/>
      <c r="N66" s="128"/>
    </row>
    <row r="67" spans="10:14" ht="14.25">
      <c r="J67" s="128"/>
      <c r="K67" s="128"/>
      <c r="L67" s="128"/>
      <c r="M67" s="128"/>
      <c r="N67" s="128"/>
    </row>
    <row r="68" spans="10:14" ht="14.25">
      <c r="J68" s="128"/>
      <c r="K68" s="128"/>
      <c r="L68" s="128"/>
      <c r="M68" s="128"/>
      <c r="N68" s="128"/>
    </row>
    <row r="69" spans="10:14" ht="14.25">
      <c r="J69" s="128"/>
      <c r="K69" s="128"/>
      <c r="L69" s="128"/>
      <c r="M69" s="128"/>
      <c r="N69" s="128"/>
    </row>
    <row r="70" spans="10:14" ht="14.25">
      <c r="J70" s="128"/>
      <c r="K70" s="128"/>
      <c r="L70" s="128"/>
      <c r="M70" s="128"/>
      <c r="N70" s="128"/>
    </row>
    <row r="71" spans="10:14" ht="14.25">
      <c r="J71" s="128"/>
      <c r="K71" s="128"/>
      <c r="L71" s="128"/>
      <c r="M71" s="128"/>
      <c r="N71" s="128"/>
    </row>
  </sheetData>
  <sheetProtection/>
  <mergeCells count="5">
    <mergeCell ref="A1:R1"/>
    <mergeCell ref="C47:H47"/>
    <mergeCell ref="C48:H48"/>
    <mergeCell ref="C49:H49"/>
    <mergeCell ref="B50:G50"/>
  </mergeCells>
  <printOptions horizontalCentered="1"/>
  <pageMargins left="0" right="0" top="0.21" bottom="0" header="0.28" footer="0.35"/>
  <pageSetup fitToHeight="1" fitToWidth="1" horizontalDpi="600" verticalDpi="600" orientation="landscape" paperSize="5" scale="99" r:id="rId1"/>
  <headerFooter alignWithMargins="0">
    <oddFooter>&amp;L&amp;8California Department of Insurance&amp;R&amp;8Rate Specialist Bureau  - 9/15/2021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K1"/>
    </sheetView>
  </sheetViews>
  <sheetFormatPr defaultColWidth="9.28125" defaultRowHeight="12.75"/>
  <cols>
    <col min="1" max="1" width="9.7109375" style="200" customWidth="1"/>
    <col min="2" max="2" width="0.71875" style="201" customWidth="1"/>
    <col min="3" max="3" width="23.28125" style="131" customWidth="1"/>
    <col min="4" max="10" width="15.7109375" style="131" customWidth="1"/>
    <col min="11" max="11" width="6.7109375" style="131" customWidth="1"/>
    <col min="12" max="16384" width="9.28125" style="131" customWidth="1"/>
  </cols>
  <sheetData>
    <row r="1" spans="1:11" ht="46.5" customHeight="1">
      <c r="A1" s="410" t="s">
        <v>124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1" ht="15" customHeight="1">
      <c r="A2" s="130"/>
      <c r="B2" s="130"/>
      <c r="C2" s="130"/>
      <c r="D2"/>
      <c r="E2"/>
      <c r="F2"/>
      <c r="G2"/>
      <c r="H2"/>
      <c r="I2"/>
      <c r="J2"/>
      <c r="K2"/>
    </row>
    <row r="3" spans="1:11" ht="15" customHeight="1" thickBot="1">
      <c r="A3" s="130"/>
      <c r="B3" s="130"/>
      <c r="C3" s="130"/>
      <c r="D3"/>
      <c r="E3"/>
      <c r="F3"/>
      <c r="G3"/>
      <c r="H3"/>
      <c r="I3"/>
      <c r="J3"/>
      <c r="K3"/>
    </row>
    <row r="4" spans="1:11" s="136" customFormat="1" ht="11.25">
      <c r="A4" s="132"/>
      <c r="B4" s="133"/>
      <c r="C4" s="133"/>
      <c r="D4" s="134" t="s">
        <v>2</v>
      </c>
      <c r="E4" s="134" t="s">
        <v>3</v>
      </c>
      <c r="F4" s="134" t="s">
        <v>4</v>
      </c>
      <c r="G4" s="134" t="s">
        <v>5</v>
      </c>
      <c r="H4" s="134" t="s">
        <v>6</v>
      </c>
      <c r="I4" s="134" t="s">
        <v>7</v>
      </c>
      <c r="J4" s="134">
        <v>7</v>
      </c>
      <c r="K4" s="135">
        <v>8</v>
      </c>
    </row>
    <row r="5" spans="1:11" ht="12.75">
      <c r="A5" s="137"/>
      <c r="B5" s="138"/>
      <c r="C5" s="139"/>
      <c r="D5" s="140">
        <v>2020</v>
      </c>
      <c r="E5" s="140">
        <v>2020</v>
      </c>
      <c r="F5" s="140">
        <v>2020</v>
      </c>
      <c r="G5" s="140">
        <v>2020</v>
      </c>
      <c r="H5" s="140">
        <v>2020</v>
      </c>
      <c r="I5" s="140">
        <v>2020</v>
      </c>
      <c r="J5" s="140">
        <v>2020</v>
      </c>
      <c r="K5" s="141">
        <v>2020</v>
      </c>
    </row>
    <row r="6" spans="1:11" ht="12.75">
      <c r="A6" s="137"/>
      <c r="B6" s="138"/>
      <c r="C6" s="139"/>
      <c r="D6" s="140" t="s">
        <v>125</v>
      </c>
      <c r="E6" s="140" t="s">
        <v>126</v>
      </c>
      <c r="F6" s="140" t="s">
        <v>127</v>
      </c>
      <c r="G6" s="140" t="s">
        <v>128</v>
      </c>
      <c r="H6" s="140" t="s">
        <v>129</v>
      </c>
      <c r="I6" s="140" t="s">
        <v>130</v>
      </c>
      <c r="J6" s="140" t="s">
        <v>131</v>
      </c>
      <c r="K6" s="141" t="s">
        <v>29</v>
      </c>
    </row>
    <row r="7" spans="1:11" ht="12.75" customHeight="1">
      <c r="A7" s="137"/>
      <c r="B7" s="138"/>
      <c r="C7" s="139" t="s">
        <v>18</v>
      </c>
      <c r="D7" s="140" t="s">
        <v>132</v>
      </c>
      <c r="E7" s="140" t="s">
        <v>132</v>
      </c>
      <c r="F7" s="140" t="s">
        <v>132</v>
      </c>
      <c r="G7" s="140" t="s">
        <v>133</v>
      </c>
      <c r="H7" s="140" t="s">
        <v>133</v>
      </c>
      <c r="I7" s="140" t="s">
        <v>134</v>
      </c>
      <c r="J7" s="140" t="s">
        <v>135</v>
      </c>
      <c r="K7" s="141"/>
    </row>
    <row r="8" spans="1:11" s="148" customFormat="1" ht="11.25" customHeight="1" thickBot="1">
      <c r="A8" s="142"/>
      <c r="B8" s="143"/>
      <c r="C8" s="144"/>
      <c r="D8" s="145" t="s">
        <v>136</v>
      </c>
      <c r="E8" s="145" t="s">
        <v>136</v>
      </c>
      <c r="F8" s="145" t="s">
        <v>136</v>
      </c>
      <c r="G8" s="144"/>
      <c r="H8" s="144"/>
      <c r="I8" s="146" t="s">
        <v>137</v>
      </c>
      <c r="J8" s="145" t="s">
        <v>136</v>
      </c>
      <c r="K8" s="147"/>
    </row>
    <row r="9" spans="1:11" ht="11.25" customHeight="1" thickBot="1">
      <c r="A9" s="138"/>
      <c r="B9" s="138"/>
      <c r="C9" s="149"/>
      <c r="D9" s="150"/>
      <c r="E9" s="150"/>
      <c r="F9" s="150"/>
      <c r="G9" s="150"/>
      <c r="H9" s="150"/>
      <c r="I9" s="150"/>
      <c r="J9" s="150"/>
      <c r="K9" s="150"/>
    </row>
    <row r="10" spans="1:11" ht="12.75" customHeight="1">
      <c r="A10" s="151" t="s">
        <v>41</v>
      </c>
      <c r="B10" s="152"/>
      <c r="C10" s="153" t="s">
        <v>42</v>
      </c>
      <c r="D10" s="154">
        <v>315528</v>
      </c>
      <c r="E10" s="155">
        <v>9747851</v>
      </c>
      <c r="F10" s="155">
        <v>388782</v>
      </c>
      <c r="G10" s="155">
        <v>1462832833</v>
      </c>
      <c r="H10" s="155">
        <v>47901638</v>
      </c>
      <c r="I10" s="155">
        <f aca="true" t="shared" si="0" ref="I10:I43">+D10*(G10+H10)/(E10+F10)</f>
        <v>47025380.732013084</v>
      </c>
      <c r="J10" s="156"/>
      <c r="K10" s="157"/>
    </row>
    <row r="11" spans="1:11" ht="12.75" customHeight="1">
      <c r="A11" s="158" t="s">
        <v>45</v>
      </c>
      <c r="B11" s="159"/>
      <c r="C11" s="160" t="s">
        <v>46</v>
      </c>
      <c r="D11" s="161">
        <v>405692</v>
      </c>
      <c r="E11" s="162">
        <v>11661875</v>
      </c>
      <c r="F11" s="162">
        <v>491371</v>
      </c>
      <c r="G11" s="162">
        <v>753688702</v>
      </c>
      <c r="H11" s="162">
        <v>29609539</v>
      </c>
      <c r="I11" s="162">
        <f t="shared" si="0"/>
        <v>26147568.3111962</v>
      </c>
      <c r="J11" s="163"/>
      <c r="K11" s="164"/>
    </row>
    <row r="12" spans="1:11" ht="12.75" customHeight="1">
      <c r="A12" s="158" t="s">
        <v>47</v>
      </c>
      <c r="B12" s="159"/>
      <c r="C12" s="160" t="s">
        <v>48</v>
      </c>
      <c r="D12" s="161">
        <v>3483</v>
      </c>
      <c r="E12" s="162">
        <v>201689</v>
      </c>
      <c r="F12" s="162">
        <v>393</v>
      </c>
      <c r="G12" s="162">
        <v>5380786</v>
      </c>
      <c r="H12" s="162">
        <v>4</v>
      </c>
      <c r="I12" s="162">
        <f t="shared" si="0"/>
        <v>92741.02379232192</v>
      </c>
      <c r="J12" s="163"/>
      <c r="K12" s="164"/>
    </row>
    <row r="13" spans="1:11" ht="12.75" customHeight="1">
      <c r="A13" s="158" t="s">
        <v>49</v>
      </c>
      <c r="B13" s="159"/>
      <c r="C13" s="160" t="s">
        <v>50</v>
      </c>
      <c r="D13" s="161">
        <v>7037</v>
      </c>
      <c r="E13" s="162">
        <v>399371</v>
      </c>
      <c r="F13" s="162">
        <v>13550</v>
      </c>
      <c r="G13" s="162">
        <v>23548405</v>
      </c>
      <c r="H13" s="162">
        <v>583331</v>
      </c>
      <c r="I13" s="162">
        <f t="shared" si="0"/>
        <v>411253.0634964073</v>
      </c>
      <c r="J13" s="163"/>
      <c r="K13" s="164"/>
    </row>
    <row r="14" spans="1:11" ht="12.75" customHeight="1">
      <c r="A14" s="158" t="s">
        <v>51</v>
      </c>
      <c r="B14" s="159"/>
      <c r="C14" s="160" t="s">
        <v>52</v>
      </c>
      <c r="D14" s="161">
        <v>87869</v>
      </c>
      <c r="E14" s="162">
        <v>1387863</v>
      </c>
      <c r="F14" s="162">
        <v>123719</v>
      </c>
      <c r="G14" s="162">
        <v>213492499</v>
      </c>
      <c r="H14" s="162">
        <v>25828094</v>
      </c>
      <c r="I14" s="162">
        <f t="shared" si="0"/>
        <v>13911822.968464166</v>
      </c>
      <c r="J14" s="163"/>
      <c r="K14" s="164"/>
    </row>
    <row r="15" spans="1:11" ht="12.75" customHeight="1">
      <c r="A15" s="158" t="s">
        <v>53</v>
      </c>
      <c r="B15" s="159"/>
      <c r="C15" s="160" t="s">
        <v>54</v>
      </c>
      <c r="D15" s="161">
        <v>3931418</v>
      </c>
      <c r="E15" s="162">
        <v>34795665</v>
      </c>
      <c r="F15" s="162">
        <v>2742150</v>
      </c>
      <c r="G15" s="162">
        <v>5655536229</v>
      </c>
      <c r="H15" s="162">
        <v>403188704</v>
      </c>
      <c r="I15" s="162">
        <f t="shared" si="0"/>
        <v>634543599.7978303</v>
      </c>
      <c r="J15" s="163"/>
      <c r="K15" s="164"/>
    </row>
    <row r="16" spans="1:11" ht="12.75" customHeight="1">
      <c r="A16" s="158" t="s">
        <v>55</v>
      </c>
      <c r="B16" s="159"/>
      <c r="C16" s="165" t="s">
        <v>56</v>
      </c>
      <c r="D16" s="166">
        <f>+D17+D18</f>
        <v>2580762</v>
      </c>
      <c r="E16" s="166">
        <f>+E17+E18</f>
        <v>41891738</v>
      </c>
      <c r="F16" s="166">
        <f>+F17+F18</f>
        <v>10492166</v>
      </c>
      <c r="G16" s="166">
        <f>+G17+G18</f>
        <v>5201767749</v>
      </c>
      <c r="H16" s="166">
        <f>+H17+H18</f>
        <v>1357201889</v>
      </c>
      <c r="I16" s="166">
        <f t="shared" si="0"/>
        <v>323136274.85466063</v>
      </c>
      <c r="J16" s="163"/>
      <c r="K16" s="164"/>
    </row>
    <row r="17" spans="1:11" ht="12.75" customHeight="1">
      <c r="A17" s="158" t="s">
        <v>57</v>
      </c>
      <c r="B17" s="159"/>
      <c r="C17" s="165" t="s">
        <v>138</v>
      </c>
      <c r="D17" s="161">
        <v>914668</v>
      </c>
      <c r="E17" s="162">
        <v>14448882</v>
      </c>
      <c r="F17" s="162">
        <v>1115059</v>
      </c>
      <c r="G17" s="162">
        <v>1662584480</v>
      </c>
      <c r="H17" s="162">
        <v>147059659</v>
      </c>
      <c r="I17" s="162">
        <f t="shared" si="0"/>
        <v>106349901.05210833</v>
      </c>
      <c r="J17" s="163"/>
      <c r="K17" s="164"/>
    </row>
    <row r="18" spans="1:11" ht="12.75" customHeight="1">
      <c r="A18" s="158" t="s">
        <v>60</v>
      </c>
      <c r="B18" s="159"/>
      <c r="C18" s="165" t="s">
        <v>139</v>
      </c>
      <c r="D18" s="161">
        <v>1666094</v>
      </c>
      <c r="E18" s="162">
        <v>27442856</v>
      </c>
      <c r="F18" s="162">
        <v>9377107</v>
      </c>
      <c r="G18" s="162">
        <v>3539183269</v>
      </c>
      <c r="H18" s="162">
        <v>1210142230</v>
      </c>
      <c r="I18" s="162">
        <f t="shared" si="0"/>
        <v>214905775.92190698</v>
      </c>
      <c r="J18" s="163"/>
      <c r="K18" s="164"/>
    </row>
    <row r="19" spans="1:11" ht="12.75" customHeight="1">
      <c r="A19" s="158" t="s">
        <v>62</v>
      </c>
      <c r="B19" s="159"/>
      <c r="C19" s="160" t="s">
        <v>63</v>
      </c>
      <c r="D19" s="161">
        <v>355454</v>
      </c>
      <c r="E19" s="162">
        <v>7553521</v>
      </c>
      <c r="F19" s="162">
        <v>381636</v>
      </c>
      <c r="G19" s="162">
        <v>1043342911</v>
      </c>
      <c r="H19" s="162">
        <v>50723016</v>
      </c>
      <c r="I19" s="162">
        <f t="shared" si="0"/>
        <v>49008495.990168564</v>
      </c>
      <c r="J19" s="163"/>
      <c r="K19" s="164"/>
    </row>
    <row r="20" spans="1:11" ht="12.75" customHeight="1">
      <c r="A20" s="158" t="s">
        <v>64</v>
      </c>
      <c r="B20" s="159"/>
      <c r="C20" s="165" t="s">
        <v>65</v>
      </c>
      <c r="D20" s="161">
        <v>1260064</v>
      </c>
      <c r="E20" s="162">
        <v>24176098</v>
      </c>
      <c r="F20" s="162">
        <v>7223302</v>
      </c>
      <c r="G20" s="162">
        <v>1459190328</v>
      </c>
      <c r="H20" s="162">
        <v>485169999</v>
      </c>
      <c r="I20" s="162">
        <f t="shared" si="0"/>
        <v>78027556.29346192</v>
      </c>
      <c r="J20" s="167">
        <f>SUM(J21:J22)</f>
        <v>21650931</v>
      </c>
      <c r="K20" s="168">
        <f>SUM(K21:K22)</f>
        <v>1</v>
      </c>
    </row>
    <row r="21" spans="1:11" ht="12.75" customHeight="1">
      <c r="A21" s="158" t="s">
        <v>66</v>
      </c>
      <c r="B21" s="159"/>
      <c r="C21" s="165" t="s">
        <v>67</v>
      </c>
      <c r="D21" s="166">
        <f>+$K$21*D20</f>
        <v>453948.77087031497</v>
      </c>
      <c r="E21" s="166">
        <f>+$K$21*E20</f>
        <v>8709644.884339431</v>
      </c>
      <c r="F21" s="166">
        <f>+$K$21*F20</f>
        <v>2602255.9683675496</v>
      </c>
      <c r="G21" s="166">
        <f>+$K$21*G20</f>
        <v>525685723.7897851</v>
      </c>
      <c r="H21" s="166">
        <f>+$K$21*H20</f>
        <v>174786617.7505285</v>
      </c>
      <c r="I21" s="166">
        <f t="shared" si="0"/>
        <v>28110090.656848654</v>
      </c>
      <c r="J21" s="167">
        <v>7799932</v>
      </c>
      <c r="K21" s="168">
        <f>+J21/J20</f>
        <v>0.3602585034334089</v>
      </c>
    </row>
    <row r="22" spans="1:11" ht="12.75" customHeight="1">
      <c r="A22" s="158" t="s">
        <v>68</v>
      </c>
      <c r="B22" s="159"/>
      <c r="C22" s="165" t="s">
        <v>69</v>
      </c>
      <c r="D22" s="166">
        <f>+$K$22*D20</f>
        <v>806115.229129685</v>
      </c>
      <c r="E22" s="166">
        <f>+$K$22*E20</f>
        <v>15466453.115660569</v>
      </c>
      <c r="F22" s="166">
        <f>+$K$22*F20</f>
        <v>4621046.03163245</v>
      </c>
      <c r="G22" s="166">
        <f>+$K$22*G20</f>
        <v>933504604.2102149</v>
      </c>
      <c r="H22" s="166">
        <f>+$K$22*H20</f>
        <v>310383381.2494715</v>
      </c>
      <c r="I22" s="166">
        <f t="shared" si="0"/>
        <v>49917465.63661325</v>
      </c>
      <c r="J22" s="167">
        <v>13850999</v>
      </c>
      <c r="K22" s="168">
        <f>+J22/J20</f>
        <v>0.6397414965665911</v>
      </c>
    </row>
    <row r="23" spans="1:11" ht="12.75" customHeight="1">
      <c r="A23" s="158">
        <v>12</v>
      </c>
      <c r="B23" s="159"/>
      <c r="C23" s="160" t="s">
        <v>140</v>
      </c>
      <c r="D23" s="161">
        <v>22164</v>
      </c>
      <c r="E23" s="162">
        <v>319991</v>
      </c>
      <c r="F23" s="162">
        <v>13200</v>
      </c>
      <c r="G23" s="162">
        <v>64851003</v>
      </c>
      <c r="H23" s="162">
        <v>5017033</v>
      </c>
      <c r="I23" s="162">
        <f t="shared" si="0"/>
        <v>4647649.996260404</v>
      </c>
      <c r="J23" s="169"/>
      <c r="K23" s="170"/>
    </row>
    <row r="24" spans="1:11" ht="12.75" customHeight="1">
      <c r="A24" s="158" t="s">
        <v>73</v>
      </c>
      <c r="B24" s="159"/>
      <c r="C24" s="160" t="s">
        <v>74</v>
      </c>
      <c r="D24" s="166">
        <f>+D25+D26</f>
        <v>7889129</v>
      </c>
      <c r="E24" s="166">
        <f>+E25+E26</f>
        <v>161687145</v>
      </c>
      <c r="F24" s="166">
        <f>+F25+F26</f>
        <v>31113447</v>
      </c>
      <c r="G24" s="166">
        <f>+G25+G26</f>
        <v>22769407043</v>
      </c>
      <c r="H24" s="166">
        <f>+H25+H26</f>
        <v>4291089924</v>
      </c>
      <c r="I24" s="166">
        <f t="shared" si="0"/>
        <v>1107277468.197669</v>
      </c>
      <c r="J24" s="167"/>
      <c r="K24" s="168"/>
    </row>
    <row r="25" spans="1:11" ht="12.75" customHeight="1">
      <c r="A25" s="158" t="s">
        <v>75</v>
      </c>
      <c r="B25" s="159"/>
      <c r="C25" s="165" t="s">
        <v>76</v>
      </c>
      <c r="D25" s="161">
        <v>5651172</v>
      </c>
      <c r="E25" s="162">
        <v>113497021</v>
      </c>
      <c r="F25" s="162">
        <v>20452790</v>
      </c>
      <c r="G25" s="162">
        <v>14912204059</v>
      </c>
      <c r="H25" s="162">
        <v>2676588582</v>
      </c>
      <c r="I25" s="162">
        <f t="shared" si="0"/>
        <v>742048769.9428351</v>
      </c>
      <c r="J25" s="167"/>
      <c r="K25" s="170"/>
    </row>
    <row r="26" spans="1:11" ht="12.75" customHeight="1">
      <c r="A26" s="158" t="s">
        <v>77</v>
      </c>
      <c r="B26" s="159"/>
      <c r="C26" s="165" t="s">
        <v>78</v>
      </c>
      <c r="D26" s="161">
        <v>2237957</v>
      </c>
      <c r="E26" s="162">
        <v>48190124</v>
      </c>
      <c r="F26" s="162">
        <v>10660657</v>
      </c>
      <c r="G26" s="162">
        <v>7857202984</v>
      </c>
      <c r="H26" s="162">
        <v>1614501342</v>
      </c>
      <c r="I26" s="162">
        <f t="shared" si="0"/>
        <v>360186672.76993287</v>
      </c>
      <c r="J26" s="167"/>
      <c r="K26" s="170"/>
    </row>
    <row r="27" spans="1:11" ht="12.75" customHeight="1">
      <c r="A27" s="158">
        <v>18</v>
      </c>
      <c r="B27" s="159"/>
      <c r="C27" s="160" t="s">
        <v>80</v>
      </c>
      <c r="D27" s="161">
        <v>1010089</v>
      </c>
      <c r="E27" s="162">
        <v>12156981</v>
      </c>
      <c r="F27" s="162">
        <v>5239530</v>
      </c>
      <c r="G27" s="162">
        <v>1535614160</v>
      </c>
      <c r="H27" s="162">
        <v>687641067</v>
      </c>
      <c r="I27" s="162">
        <f t="shared" si="0"/>
        <v>129088278.04524729</v>
      </c>
      <c r="J27" s="167">
        <f>+J28+J29</f>
        <v>9183772</v>
      </c>
      <c r="K27" s="168">
        <f>+K28+K29</f>
        <v>1</v>
      </c>
    </row>
    <row r="28" spans="1:11" ht="12.75" customHeight="1">
      <c r="A28" s="158" t="s">
        <v>81</v>
      </c>
      <c r="B28" s="159"/>
      <c r="C28" s="165" t="s">
        <v>82</v>
      </c>
      <c r="D28" s="166">
        <f>+$K$28*D27</f>
        <v>911184.1597031155</v>
      </c>
      <c r="E28" s="166">
        <f>+$K$28*E27</f>
        <v>10966606.424792014</v>
      </c>
      <c r="F28" s="166">
        <f>+$K$28*F27</f>
        <v>4726491.1708663935</v>
      </c>
      <c r="G28" s="166">
        <f>+$K$28*G27</f>
        <v>1385251495.668011</v>
      </c>
      <c r="H28" s="166">
        <f>+$K$28*H27</f>
        <v>620309346.8117648</v>
      </c>
      <c r="I28" s="166">
        <f t="shared" si="0"/>
        <v>116448346.7874423</v>
      </c>
      <c r="J28" s="167">
        <v>8284525</v>
      </c>
      <c r="K28" s="170">
        <f>+J28/J27</f>
        <v>0.9020830438734759</v>
      </c>
    </row>
    <row r="29" spans="1:11" ht="12.75" customHeight="1">
      <c r="A29" s="158" t="s">
        <v>83</v>
      </c>
      <c r="B29" s="159"/>
      <c r="C29" s="165" t="s">
        <v>84</v>
      </c>
      <c r="D29" s="166">
        <f>+$K$29*D27</f>
        <v>98904.84029688455</v>
      </c>
      <c r="E29" s="166">
        <f>+$K$29*E27</f>
        <v>1190374.5752079864</v>
      </c>
      <c r="F29" s="166">
        <f>+$K$29*F27</f>
        <v>513038.8291336065</v>
      </c>
      <c r="G29" s="166">
        <f>+$K$29*G27</f>
        <v>150362664.33198908</v>
      </c>
      <c r="H29" s="166">
        <f>+$K$29*H27</f>
        <v>67331720.18823518</v>
      </c>
      <c r="I29" s="166">
        <f t="shared" si="0"/>
        <v>12639931.257805016</v>
      </c>
      <c r="J29" s="167">
        <v>899247</v>
      </c>
      <c r="K29" s="170">
        <f>+J29/J27</f>
        <v>0.09791695612652404</v>
      </c>
    </row>
    <row r="30" spans="1:11" ht="12.75" customHeight="1">
      <c r="A30" s="158" t="s">
        <v>85</v>
      </c>
      <c r="B30" s="159"/>
      <c r="C30" s="165" t="s">
        <v>86</v>
      </c>
      <c r="D30" s="166">
        <f>+D31+D34</f>
        <v>12827776</v>
      </c>
      <c r="E30" s="166">
        <f>+E31+E34</f>
        <v>99349684</v>
      </c>
      <c r="F30" s="166">
        <f>+F31+F34</f>
        <v>12651512</v>
      </c>
      <c r="G30" s="166">
        <f>+G31+G34</f>
        <v>12375855516</v>
      </c>
      <c r="H30" s="166">
        <f>+H31+H34</f>
        <v>1663743452</v>
      </c>
      <c r="I30" s="166">
        <f t="shared" si="0"/>
        <v>1607990245.8482244</v>
      </c>
      <c r="J30" s="171"/>
      <c r="K30" s="172"/>
    </row>
    <row r="31" spans="1:11" ht="12.75" customHeight="1">
      <c r="A31" s="158">
        <v>19.2</v>
      </c>
      <c r="B31" s="159"/>
      <c r="C31" s="160" t="s">
        <v>88</v>
      </c>
      <c r="D31" s="161">
        <v>10272245</v>
      </c>
      <c r="E31" s="162">
        <v>94646140</v>
      </c>
      <c r="F31" s="162">
        <v>12370193</v>
      </c>
      <c r="G31" s="162">
        <v>11956187365</v>
      </c>
      <c r="H31" s="162">
        <v>1626136174</v>
      </c>
      <c r="I31" s="162">
        <f t="shared" si="0"/>
        <v>1303735150.9874203</v>
      </c>
      <c r="J31" s="163"/>
      <c r="K31" s="173"/>
    </row>
    <row r="32" spans="1:11" ht="12.75" customHeight="1">
      <c r="A32" s="158" t="s">
        <v>89</v>
      </c>
      <c r="B32" s="159"/>
      <c r="C32" s="160" t="s">
        <v>90</v>
      </c>
      <c r="D32" s="174">
        <f>+D33+D35</f>
        <v>2223994</v>
      </c>
      <c r="E32" s="174">
        <f>+E33+E35</f>
        <v>47593388</v>
      </c>
      <c r="F32" s="174">
        <f>+F33+F35</f>
        <v>5702135</v>
      </c>
      <c r="G32" s="174">
        <f>+G33+G35</f>
        <v>5967103745</v>
      </c>
      <c r="H32" s="174">
        <f>+H33+H35</f>
        <v>705507853</v>
      </c>
      <c r="I32" s="174">
        <f t="shared" si="0"/>
        <v>278444554.4944256</v>
      </c>
      <c r="J32" s="163"/>
      <c r="K32" s="164"/>
    </row>
    <row r="33" spans="1:11" ht="12.75" customHeight="1">
      <c r="A33" s="158">
        <v>19.4</v>
      </c>
      <c r="B33" s="159"/>
      <c r="C33" s="160" t="s">
        <v>92</v>
      </c>
      <c r="D33" s="161">
        <v>2023495</v>
      </c>
      <c r="E33" s="162">
        <v>46199088</v>
      </c>
      <c r="F33" s="162">
        <v>5542975</v>
      </c>
      <c r="G33" s="162">
        <v>5786190680</v>
      </c>
      <c r="H33" s="162">
        <v>686979745</v>
      </c>
      <c r="I33" s="162">
        <f t="shared" si="0"/>
        <v>253148545.4906461</v>
      </c>
      <c r="J33" s="163"/>
      <c r="K33" s="164"/>
    </row>
    <row r="34" spans="1:11" ht="12.75" customHeight="1">
      <c r="A34" s="158">
        <v>21.1</v>
      </c>
      <c r="B34" s="159"/>
      <c r="C34" s="160" t="s">
        <v>94</v>
      </c>
      <c r="D34" s="161">
        <v>2555531</v>
      </c>
      <c r="E34" s="162">
        <v>4703544</v>
      </c>
      <c r="F34" s="162">
        <v>281319</v>
      </c>
      <c r="G34" s="162">
        <v>419668151</v>
      </c>
      <c r="H34" s="162">
        <v>37607278</v>
      </c>
      <c r="I34" s="162">
        <f t="shared" si="0"/>
        <v>234426008.1666836</v>
      </c>
      <c r="J34" s="163"/>
      <c r="K34" s="164"/>
    </row>
    <row r="35" spans="1:11" ht="12.75" customHeight="1">
      <c r="A35" s="158">
        <v>21.2</v>
      </c>
      <c r="B35" s="159"/>
      <c r="C35" s="160" t="s">
        <v>96</v>
      </c>
      <c r="D35" s="161">
        <v>200499</v>
      </c>
      <c r="E35" s="162">
        <v>1394300</v>
      </c>
      <c r="F35" s="162">
        <v>159160</v>
      </c>
      <c r="G35" s="162">
        <v>180913065</v>
      </c>
      <c r="H35" s="162">
        <v>18528108</v>
      </c>
      <c r="I35" s="162">
        <f t="shared" si="0"/>
        <v>25741091.335037272</v>
      </c>
      <c r="J35" s="163"/>
      <c r="K35" s="164"/>
    </row>
    <row r="36" spans="1:11" ht="12.75" customHeight="1">
      <c r="A36" s="175">
        <v>22</v>
      </c>
      <c r="B36" s="159"/>
      <c r="C36" s="160" t="s">
        <v>98</v>
      </c>
      <c r="D36" s="161">
        <v>104827</v>
      </c>
      <c r="E36" s="162">
        <v>2270847</v>
      </c>
      <c r="F36" s="162">
        <v>315531</v>
      </c>
      <c r="G36" s="162">
        <v>219865613</v>
      </c>
      <c r="H36" s="162">
        <v>32185802</v>
      </c>
      <c r="I36" s="162">
        <f t="shared" si="0"/>
        <v>10215751.015592076</v>
      </c>
      <c r="J36" s="163"/>
      <c r="K36" s="164"/>
    </row>
    <row r="37" spans="1:11" ht="12.75" customHeight="1">
      <c r="A37" s="175">
        <v>23</v>
      </c>
      <c r="B37" s="159"/>
      <c r="C37" s="160" t="s">
        <v>101</v>
      </c>
      <c r="D37" s="161">
        <v>82836</v>
      </c>
      <c r="E37" s="162">
        <v>1163754</v>
      </c>
      <c r="F37" s="162">
        <v>123846</v>
      </c>
      <c r="G37" s="162">
        <v>131128139</v>
      </c>
      <c r="H37" s="162">
        <v>13558939</v>
      </c>
      <c r="I37" s="162">
        <f t="shared" si="0"/>
        <v>9308246.96583411</v>
      </c>
      <c r="J37" s="163"/>
      <c r="K37" s="164"/>
    </row>
    <row r="38" spans="1:11" ht="12.75" customHeight="1">
      <c r="A38" s="175">
        <v>24</v>
      </c>
      <c r="B38" s="159"/>
      <c r="C38" s="160" t="s">
        <v>103</v>
      </c>
      <c r="D38" s="161">
        <v>257854</v>
      </c>
      <c r="E38" s="162">
        <v>2953141</v>
      </c>
      <c r="F38" s="162">
        <v>550582</v>
      </c>
      <c r="G38" s="162">
        <v>421208614</v>
      </c>
      <c r="H38" s="162">
        <v>61060784</v>
      </c>
      <c r="I38" s="162">
        <f t="shared" si="0"/>
        <v>35492273.034110285</v>
      </c>
      <c r="J38" s="163"/>
      <c r="K38" s="164"/>
    </row>
    <row r="39" spans="1:11" ht="12.75" customHeight="1">
      <c r="A39" s="175">
        <v>26</v>
      </c>
      <c r="B39" s="159"/>
      <c r="C39" s="160" t="s">
        <v>141</v>
      </c>
      <c r="D39" s="161">
        <v>22035</v>
      </c>
      <c r="E39" s="162">
        <v>296927</v>
      </c>
      <c r="F39" s="162">
        <v>31863</v>
      </c>
      <c r="G39" s="162">
        <v>34461807</v>
      </c>
      <c r="H39" s="162">
        <v>3749252</v>
      </c>
      <c r="I39" s="162">
        <f t="shared" si="0"/>
        <v>2560846.391511299</v>
      </c>
      <c r="J39" s="163"/>
      <c r="K39" s="164"/>
    </row>
    <row r="40" spans="1:11" ht="12.75" customHeight="1">
      <c r="A40" s="175">
        <v>27</v>
      </c>
      <c r="B40" s="159"/>
      <c r="C40" s="160" t="s">
        <v>108</v>
      </c>
      <c r="D40" s="161">
        <v>28078</v>
      </c>
      <c r="E40" s="162">
        <v>824391</v>
      </c>
      <c r="F40" s="162">
        <v>48063</v>
      </c>
      <c r="G40" s="162">
        <v>63858885</v>
      </c>
      <c r="H40" s="162">
        <v>19384800</v>
      </c>
      <c r="I40" s="162">
        <f t="shared" si="0"/>
        <v>2679013.6642504935</v>
      </c>
      <c r="J40" s="163"/>
      <c r="K40" s="164"/>
    </row>
    <row r="41" spans="1:11" ht="12.75" customHeight="1">
      <c r="A41" s="158" t="s">
        <v>109</v>
      </c>
      <c r="B41" s="159"/>
      <c r="C41" s="160" t="s">
        <v>110</v>
      </c>
      <c r="D41" s="161">
        <v>29739</v>
      </c>
      <c r="E41" s="162">
        <v>1012615</v>
      </c>
      <c r="F41" s="162">
        <v>19389</v>
      </c>
      <c r="G41" s="162">
        <v>96981625</v>
      </c>
      <c r="H41" s="162">
        <v>1940393</v>
      </c>
      <c r="I41" s="162">
        <f t="shared" si="0"/>
        <v>2850610.940754106</v>
      </c>
      <c r="J41" s="163"/>
      <c r="K41" s="164"/>
    </row>
    <row r="42" spans="1:11" ht="12.75" customHeight="1">
      <c r="A42" s="158" t="s">
        <v>111</v>
      </c>
      <c r="B42" s="159"/>
      <c r="C42" s="160" t="s">
        <v>112</v>
      </c>
      <c r="D42" s="161">
        <v>14513</v>
      </c>
      <c r="E42" s="162">
        <v>242091</v>
      </c>
      <c r="F42" s="162">
        <v>986</v>
      </c>
      <c r="G42" s="162">
        <v>19604816</v>
      </c>
      <c r="H42" s="162">
        <v>32885</v>
      </c>
      <c r="I42" s="162">
        <f t="shared" si="0"/>
        <v>1172476.0245230936</v>
      </c>
      <c r="J42" s="163"/>
      <c r="K42" s="164"/>
    </row>
    <row r="43" spans="1:11" ht="12.75" customHeight="1" thickBot="1">
      <c r="A43" s="176" t="s">
        <v>113</v>
      </c>
      <c r="B43" s="177"/>
      <c r="C43" s="178" t="s">
        <v>114</v>
      </c>
      <c r="D43" s="179">
        <v>62987</v>
      </c>
      <c r="E43" s="180">
        <v>-100146</v>
      </c>
      <c r="F43" s="180">
        <v>105969</v>
      </c>
      <c r="G43" s="180">
        <v>93714537</v>
      </c>
      <c r="H43" s="180">
        <v>6194717</v>
      </c>
      <c r="I43" s="180">
        <f t="shared" si="0"/>
        <v>1080711691.8595226</v>
      </c>
      <c r="J43" s="181"/>
      <c r="K43" s="182"/>
    </row>
    <row r="44" spans="1:11" s="189" customFormat="1" ht="12.75" customHeight="1" thickBot="1">
      <c r="A44" s="183"/>
      <c r="B44" s="183"/>
      <c r="C44" s="184"/>
      <c r="D44" s="185"/>
      <c r="E44" s="186"/>
      <c r="F44" s="186"/>
      <c r="G44" s="186"/>
      <c r="H44" s="186"/>
      <c r="I44" s="186"/>
      <c r="J44" s="187"/>
      <c r="K44" s="188"/>
    </row>
    <row r="45" spans="1:11" s="196" customFormat="1" ht="21" customHeight="1" thickBot="1">
      <c r="A45" s="190"/>
      <c r="B45" s="191"/>
      <c r="C45" s="192" t="s">
        <v>115</v>
      </c>
      <c r="D45" s="193">
        <f>SUM(D10:D43)-D16-D20-D24-D27-D30-D32</f>
        <v>33523328</v>
      </c>
      <c r="E45" s="193">
        <f>SUM(E10:E43)-E16-E20-E24-E27-E30-E32</f>
        <v>461586480</v>
      </c>
      <c r="F45" s="193">
        <f>SUM(F10:F43)-F16-F20-F24-F27-F30-F32</f>
        <v>77773122</v>
      </c>
      <c r="G45" s="193">
        <f>SUM(G10:G43)-G16-G20-G24-G27-G30-G32</f>
        <v>59612435945</v>
      </c>
      <c r="H45" s="193">
        <f>SUM(H10:H43)-H16-H20-H24-H27-H30-H32</f>
        <v>9891313115</v>
      </c>
      <c r="I45" s="193">
        <f>+D45*(G45+H45)/(E45+F45)</f>
        <v>4319932320.344733</v>
      </c>
      <c r="J45" s="194"/>
      <c r="K45" s="195"/>
    </row>
    <row r="46" spans="1:11" ht="12.75">
      <c r="A46" s="197"/>
      <c r="B46" s="198"/>
      <c r="C46" s="199"/>
      <c r="D46" s="199"/>
      <c r="E46" s="199"/>
      <c r="F46" s="199"/>
      <c r="G46" s="199"/>
      <c r="H46" s="199"/>
      <c r="I46" s="199"/>
      <c r="J46" s="199"/>
      <c r="K46" s="199"/>
    </row>
    <row r="47" spans="1:11" ht="12.75">
      <c r="A47" s="197"/>
      <c r="B47" s="198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1:11" ht="12.75">
      <c r="A48" s="197"/>
      <c r="B48" s="198"/>
      <c r="C48" s="199"/>
      <c r="D48" s="199"/>
      <c r="E48" s="199"/>
      <c r="F48" s="199"/>
      <c r="G48" s="199"/>
      <c r="H48" s="199"/>
      <c r="I48" s="199"/>
      <c r="J48" s="199"/>
      <c r="K48" s="199"/>
    </row>
  </sheetData>
  <sheetProtection/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- 9/15/2021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K1"/>
    </sheetView>
  </sheetViews>
  <sheetFormatPr defaultColWidth="9.28125" defaultRowHeight="12.75"/>
  <cols>
    <col min="1" max="1" width="9.7109375" style="200" customWidth="1"/>
    <col min="2" max="2" width="0.71875" style="201" customWidth="1"/>
    <col min="3" max="3" width="23.28125" style="131" customWidth="1"/>
    <col min="4" max="10" width="15.7109375" style="131" customWidth="1"/>
    <col min="11" max="11" width="6.7109375" style="131" customWidth="1"/>
    <col min="12" max="16384" width="9.28125" style="131" customWidth="1"/>
  </cols>
  <sheetData>
    <row r="1" spans="1:11" ht="46.5" customHeight="1">
      <c r="A1" s="410" t="s">
        <v>142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1" ht="15" customHeight="1">
      <c r="A2" s="130"/>
      <c r="B2" s="130"/>
      <c r="C2" s="130"/>
      <c r="D2"/>
      <c r="E2"/>
      <c r="F2"/>
      <c r="G2"/>
      <c r="H2"/>
      <c r="I2"/>
      <c r="J2"/>
      <c r="K2"/>
    </row>
    <row r="3" spans="1:11" ht="15" customHeight="1" thickBot="1">
      <c r="A3" s="130"/>
      <c r="B3" s="130"/>
      <c r="C3" s="130"/>
      <c r="D3"/>
      <c r="E3"/>
      <c r="F3"/>
      <c r="G3"/>
      <c r="H3"/>
      <c r="I3"/>
      <c r="J3"/>
      <c r="K3"/>
    </row>
    <row r="4" spans="1:11" s="136" customFormat="1" ht="11.25">
      <c r="A4" s="132"/>
      <c r="B4" s="133"/>
      <c r="C4" s="133"/>
      <c r="D4" s="134" t="s">
        <v>2</v>
      </c>
      <c r="E4" s="134" t="s">
        <v>3</v>
      </c>
      <c r="F4" s="134" t="s">
        <v>4</v>
      </c>
      <c r="G4" s="134" t="s">
        <v>5</v>
      </c>
      <c r="H4" s="134" t="s">
        <v>6</v>
      </c>
      <c r="I4" s="134" t="s">
        <v>7</v>
      </c>
      <c r="J4" s="134">
        <v>7</v>
      </c>
      <c r="K4" s="135">
        <v>8</v>
      </c>
    </row>
    <row r="5" spans="1:11" ht="12.75">
      <c r="A5" s="137"/>
      <c r="B5" s="138"/>
      <c r="C5" s="139"/>
      <c r="D5" s="140">
        <v>2019</v>
      </c>
      <c r="E5" s="140">
        <v>2019</v>
      </c>
      <c r="F5" s="140">
        <v>2019</v>
      </c>
      <c r="G5" s="140">
        <v>2019</v>
      </c>
      <c r="H5" s="140">
        <v>2019</v>
      </c>
      <c r="I5" s="140">
        <v>2019</v>
      </c>
      <c r="J5" s="140">
        <v>2019</v>
      </c>
      <c r="K5" s="141">
        <v>2019</v>
      </c>
    </row>
    <row r="6" spans="1:11" ht="12.75">
      <c r="A6" s="137"/>
      <c r="B6" s="138"/>
      <c r="C6" s="139"/>
      <c r="D6" s="140" t="s">
        <v>125</v>
      </c>
      <c r="E6" s="140" t="s">
        <v>126</v>
      </c>
      <c r="F6" s="140" t="s">
        <v>127</v>
      </c>
      <c r="G6" s="140" t="s">
        <v>128</v>
      </c>
      <c r="H6" s="140" t="s">
        <v>129</v>
      </c>
      <c r="I6" s="140" t="s">
        <v>130</v>
      </c>
      <c r="J6" s="140" t="s">
        <v>131</v>
      </c>
      <c r="K6" s="141" t="s">
        <v>29</v>
      </c>
    </row>
    <row r="7" spans="1:11" ht="12.75" customHeight="1">
      <c r="A7" s="137"/>
      <c r="B7" s="138"/>
      <c r="C7" s="139" t="s">
        <v>18</v>
      </c>
      <c r="D7" s="140" t="s">
        <v>132</v>
      </c>
      <c r="E7" s="140" t="s">
        <v>132</v>
      </c>
      <c r="F7" s="140" t="s">
        <v>132</v>
      </c>
      <c r="G7" s="140" t="s">
        <v>133</v>
      </c>
      <c r="H7" s="140" t="s">
        <v>133</v>
      </c>
      <c r="I7" s="140" t="s">
        <v>134</v>
      </c>
      <c r="J7" s="140" t="s">
        <v>135</v>
      </c>
      <c r="K7" s="141"/>
    </row>
    <row r="8" spans="1:11" s="148" customFormat="1" ht="11.25" customHeight="1" thickBot="1">
      <c r="A8" s="142"/>
      <c r="B8" s="143"/>
      <c r="C8" s="144"/>
      <c r="D8" s="145" t="s">
        <v>136</v>
      </c>
      <c r="E8" s="145" t="s">
        <v>136</v>
      </c>
      <c r="F8" s="145" t="s">
        <v>136</v>
      </c>
      <c r="G8" s="144"/>
      <c r="H8" s="144"/>
      <c r="I8" s="146" t="s">
        <v>137</v>
      </c>
      <c r="J8" s="145" t="s">
        <v>136</v>
      </c>
      <c r="K8" s="147"/>
    </row>
    <row r="9" spans="1:11" ht="11.25" customHeight="1" thickBot="1">
      <c r="A9" s="138"/>
      <c r="B9" s="138"/>
      <c r="C9" s="149"/>
      <c r="D9" s="202"/>
      <c r="E9" s="202"/>
      <c r="F9" s="202"/>
      <c r="G9" s="202"/>
      <c r="H9" s="202"/>
      <c r="I9" s="202"/>
      <c r="J9" s="202"/>
      <c r="K9" s="202"/>
    </row>
    <row r="10" spans="1:11" ht="12.75" customHeight="1">
      <c r="A10" s="151" t="s">
        <v>41</v>
      </c>
      <c r="B10" s="152"/>
      <c r="C10" s="153" t="s">
        <v>42</v>
      </c>
      <c r="D10" s="154">
        <v>260578</v>
      </c>
      <c r="E10" s="155">
        <v>7545098</v>
      </c>
      <c r="F10" s="155">
        <v>293098</v>
      </c>
      <c r="G10" s="155">
        <v>969491262</v>
      </c>
      <c r="H10" s="155">
        <v>31275535</v>
      </c>
      <c r="I10" s="155">
        <f aca="true" t="shared" si="0" ref="I10:I43">+D10*(G10+H10)/(E10+F10)</f>
        <v>33270131.345103644</v>
      </c>
      <c r="J10" s="156"/>
      <c r="K10" s="157"/>
    </row>
    <row r="11" spans="1:11" ht="12.75" customHeight="1">
      <c r="A11" s="158" t="s">
        <v>45</v>
      </c>
      <c r="B11" s="159"/>
      <c r="C11" s="160" t="s">
        <v>46</v>
      </c>
      <c r="D11" s="161">
        <v>312172</v>
      </c>
      <c r="E11" s="162">
        <v>9567223</v>
      </c>
      <c r="F11" s="162">
        <v>382259</v>
      </c>
      <c r="G11" s="162">
        <v>493357493</v>
      </c>
      <c r="H11" s="162">
        <v>21075162</v>
      </c>
      <c r="I11" s="162">
        <f t="shared" si="0"/>
        <v>16140686.598222902</v>
      </c>
      <c r="J11" s="163"/>
      <c r="K11" s="164"/>
    </row>
    <row r="12" spans="1:11" ht="12.75" customHeight="1">
      <c r="A12" s="158" t="s">
        <v>47</v>
      </c>
      <c r="B12" s="75"/>
      <c r="C12" s="160" t="s">
        <v>48</v>
      </c>
      <c r="D12" s="161">
        <v>1840</v>
      </c>
      <c r="E12" s="162">
        <v>168297</v>
      </c>
      <c r="F12" s="162">
        <v>398</v>
      </c>
      <c r="G12" s="162">
        <v>8104622</v>
      </c>
      <c r="H12" s="162">
        <v>227446</v>
      </c>
      <c r="I12" s="162">
        <f t="shared" si="0"/>
        <v>90880.02086606005</v>
      </c>
      <c r="J12" s="163"/>
      <c r="K12" s="164"/>
    </row>
    <row r="13" spans="1:11" ht="12.75" customHeight="1">
      <c r="A13" s="158" t="s">
        <v>49</v>
      </c>
      <c r="B13" s="75"/>
      <c r="C13" s="160" t="s">
        <v>50</v>
      </c>
      <c r="D13" s="161">
        <v>3397</v>
      </c>
      <c r="E13" s="162">
        <v>169721</v>
      </c>
      <c r="F13" s="162">
        <v>6401</v>
      </c>
      <c r="G13" s="162">
        <v>14246201</v>
      </c>
      <c r="H13" s="162">
        <v>436148</v>
      </c>
      <c r="I13" s="162">
        <f t="shared" si="0"/>
        <v>283189.71822373127</v>
      </c>
      <c r="J13" s="163"/>
      <c r="K13" s="164"/>
    </row>
    <row r="14" spans="1:11" ht="12.75" customHeight="1">
      <c r="A14" s="158" t="s">
        <v>51</v>
      </c>
      <c r="B14" s="159"/>
      <c r="C14" s="160" t="s">
        <v>52</v>
      </c>
      <c r="D14" s="161">
        <v>79672</v>
      </c>
      <c r="E14" s="162">
        <v>1121976</v>
      </c>
      <c r="F14" s="162">
        <v>122337</v>
      </c>
      <c r="G14" s="162">
        <v>157941708</v>
      </c>
      <c r="H14" s="162">
        <v>26136841</v>
      </c>
      <c r="I14" s="162">
        <f t="shared" si="0"/>
        <v>11786348.094031004</v>
      </c>
      <c r="J14" s="163"/>
      <c r="K14" s="164"/>
    </row>
    <row r="15" spans="1:11" ht="12.75" customHeight="1">
      <c r="A15" s="158" t="s">
        <v>53</v>
      </c>
      <c r="B15" s="159"/>
      <c r="C15" s="160" t="s">
        <v>54</v>
      </c>
      <c r="D15" s="161">
        <v>3665189</v>
      </c>
      <c r="E15" s="162">
        <v>29160424</v>
      </c>
      <c r="F15" s="162">
        <v>2632184</v>
      </c>
      <c r="G15" s="162">
        <v>5557190061</v>
      </c>
      <c r="H15" s="162">
        <v>443393295</v>
      </c>
      <c r="I15" s="162">
        <f t="shared" si="0"/>
        <v>691773135.1260735</v>
      </c>
      <c r="J15" s="163"/>
      <c r="K15" s="164"/>
    </row>
    <row r="16" spans="1:11" ht="12.75" customHeight="1">
      <c r="A16" s="158" t="s">
        <v>55</v>
      </c>
      <c r="B16" s="159"/>
      <c r="C16" s="165" t="s">
        <v>56</v>
      </c>
      <c r="D16" s="166">
        <f>+D17+D18</f>
        <v>2466312</v>
      </c>
      <c r="E16" s="166">
        <f>+E17+E18</f>
        <v>37481711</v>
      </c>
      <c r="F16" s="166">
        <f>+F17+F18</f>
        <v>9924169</v>
      </c>
      <c r="G16" s="166">
        <f>+G17+G18</f>
        <v>4595682362</v>
      </c>
      <c r="H16" s="166">
        <f>+H17+H18</f>
        <v>1317382519</v>
      </c>
      <c r="I16" s="166">
        <f t="shared" si="0"/>
        <v>307629831.42152137</v>
      </c>
      <c r="J16" s="163"/>
      <c r="K16" s="164"/>
    </row>
    <row r="17" spans="1:11" ht="12.75" customHeight="1">
      <c r="A17" s="158" t="s">
        <v>57</v>
      </c>
      <c r="B17" s="159"/>
      <c r="C17" s="165" t="s">
        <v>138</v>
      </c>
      <c r="D17" s="161">
        <v>812904</v>
      </c>
      <c r="E17" s="162">
        <v>11848698</v>
      </c>
      <c r="F17" s="162">
        <v>852003</v>
      </c>
      <c r="G17" s="162">
        <v>1297733594</v>
      </c>
      <c r="H17" s="162">
        <v>103631596</v>
      </c>
      <c r="I17" s="162">
        <f t="shared" si="0"/>
        <v>89693897.08581913</v>
      </c>
      <c r="J17" s="163"/>
      <c r="K17" s="164"/>
    </row>
    <row r="18" spans="1:11" ht="12.75" customHeight="1">
      <c r="A18" s="158" t="s">
        <v>60</v>
      </c>
      <c r="B18" s="159"/>
      <c r="C18" s="165" t="s">
        <v>139</v>
      </c>
      <c r="D18" s="161">
        <v>1653408</v>
      </c>
      <c r="E18" s="162">
        <v>25633013</v>
      </c>
      <c r="F18" s="162">
        <v>9072166</v>
      </c>
      <c r="G18" s="162">
        <v>3297948768</v>
      </c>
      <c r="H18" s="162">
        <v>1213750923</v>
      </c>
      <c r="I18" s="162">
        <f t="shared" si="0"/>
        <v>214944298.73699623</v>
      </c>
      <c r="J18" s="163"/>
      <c r="K18" s="164"/>
    </row>
    <row r="19" spans="1:11" ht="12.75" customHeight="1">
      <c r="A19" s="158" t="s">
        <v>62</v>
      </c>
      <c r="B19" s="159"/>
      <c r="C19" s="160" t="s">
        <v>63</v>
      </c>
      <c r="D19" s="161">
        <v>357695</v>
      </c>
      <c r="E19" s="162">
        <v>4888373</v>
      </c>
      <c r="F19" s="162">
        <v>232819</v>
      </c>
      <c r="G19" s="162">
        <v>577897658</v>
      </c>
      <c r="H19" s="162">
        <v>21967408</v>
      </c>
      <c r="I19" s="162">
        <f t="shared" si="0"/>
        <v>41898201.58722227</v>
      </c>
      <c r="J19" s="163"/>
      <c r="K19" s="164"/>
    </row>
    <row r="20" spans="1:11" ht="12.75" customHeight="1">
      <c r="A20" s="158" t="s">
        <v>64</v>
      </c>
      <c r="B20" s="159"/>
      <c r="C20" s="165" t="s">
        <v>65</v>
      </c>
      <c r="D20" s="161">
        <v>1271213</v>
      </c>
      <c r="E20" s="162">
        <v>22989659</v>
      </c>
      <c r="F20" s="162">
        <v>6834127</v>
      </c>
      <c r="G20" s="162">
        <v>1355336851</v>
      </c>
      <c r="H20" s="162">
        <v>434562957</v>
      </c>
      <c r="I20" s="162">
        <f t="shared" si="0"/>
        <v>76292926.21088094</v>
      </c>
      <c r="J20" s="167">
        <f>SUM(J21:J22)</f>
        <v>20497622</v>
      </c>
      <c r="K20" s="168">
        <f>SUM(K21:K22)</f>
        <v>1</v>
      </c>
    </row>
    <row r="21" spans="1:11" ht="12.75" customHeight="1">
      <c r="A21" s="158" t="s">
        <v>66</v>
      </c>
      <c r="B21" s="159"/>
      <c r="C21" s="165" t="s">
        <v>67</v>
      </c>
      <c r="D21" s="166">
        <f>+$K$21*D20</f>
        <v>470655.7883597424</v>
      </c>
      <c r="E21" s="166">
        <f>+$K$21*E20</f>
        <v>8511725.478552097</v>
      </c>
      <c r="F21" s="166">
        <f>+$K$21*F20</f>
        <v>2530277.3264083997</v>
      </c>
      <c r="G21" s="166">
        <f>+$K$21*G20</f>
        <v>501801927.84404796</v>
      </c>
      <c r="H21" s="166">
        <f>+$K$21*H20</f>
        <v>160893234.35079396</v>
      </c>
      <c r="I21" s="166">
        <f t="shared" si="0"/>
        <v>28246806.264610115</v>
      </c>
      <c r="J21" s="167">
        <v>7589070</v>
      </c>
      <c r="K21" s="168">
        <f>+J21/J20</f>
        <v>0.37024148459757916</v>
      </c>
    </row>
    <row r="22" spans="1:11" ht="12.75" customHeight="1">
      <c r="A22" s="158" t="s">
        <v>68</v>
      </c>
      <c r="B22" s="159"/>
      <c r="C22" s="165" t="s">
        <v>69</v>
      </c>
      <c r="D22" s="166">
        <f>+$K$22*D20</f>
        <v>800557.2116402575</v>
      </c>
      <c r="E22" s="166">
        <f>+$K$22*E20</f>
        <v>14477933.5214479</v>
      </c>
      <c r="F22" s="166">
        <f>+$K$22*F20</f>
        <v>4303849.6735916</v>
      </c>
      <c r="G22" s="166">
        <f>+$K$22*G20</f>
        <v>853534923.155952</v>
      </c>
      <c r="H22" s="166">
        <f>+$K$22*H20</f>
        <v>273669722.64920604</v>
      </c>
      <c r="I22" s="166">
        <f t="shared" si="0"/>
        <v>48046119.94627082</v>
      </c>
      <c r="J22" s="167">
        <v>12908552</v>
      </c>
      <c r="K22" s="168">
        <f>+J22/J20</f>
        <v>0.6297585154024208</v>
      </c>
    </row>
    <row r="23" spans="1:11" ht="12.75" customHeight="1">
      <c r="A23" s="158">
        <v>12</v>
      </c>
      <c r="B23" s="159"/>
      <c r="C23" s="160" t="s">
        <v>140</v>
      </c>
      <c r="D23" s="161">
        <v>7033</v>
      </c>
      <c r="E23" s="162">
        <v>160847</v>
      </c>
      <c r="F23" s="162">
        <v>8447</v>
      </c>
      <c r="G23" s="162">
        <v>44526224</v>
      </c>
      <c r="H23" s="162">
        <v>2225637</v>
      </c>
      <c r="I23" s="162">
        <f t="shared" si="0"/>
        <v>1942217.9073859677</v>
      </c>
      <c r="J23" s="169"/>
      <c r="K23" s="170"/>
    </row>
    <row r="24" spans="1:11" ht="12.75" customHeight="1">
      <c r="A24" s="158" t="s">
        <v>73</v>
      </c>
      <c r="B24" s="159"/>
      <c r="C24" s="160" t="s">
        <v>74</v>
      </c>
      <c r="D24" s="166">
        <f>+D25+D26</f>
        <v>7444641</v>
      </c>
      <c r="E24" s="166">
        <f>+E25+E26</f>
        <v>146603257</v>
      </c>
      <c r="F24" s="166">
        <f>+F25+F26</f>
        <v>28219759</v>
      </c>
      <c r="G24" s="166">
        <f>+G25+G26</f>
        <v>19920629231</v>
      </c>
      <c r="H24" s="166">
        <f>+H25+H26</f>
        <v>3908089638</v>
      </c>
      <c r="I24" s="166">
        <f t="shared" si="0"/>
        <v>1014719122.9650851</v>
      </c>
      <c r="J24" s="167"/>
      <c r="K24" s="168"/>
    </row>
    <row r="25" spans="1:11" ht="12.75" customHeight="1">
      <c r="A25" s="158" t="s">
        <v>75</v>
      </c>
      <c r="B25" s="159"/>
      <c r="C25" s="165" t="s">
        <v>76</v>
      </c>
      <c r="D25" s="161">
        <v>5445743</v>
      </c>
      <c r="E25" s="162">
        <v>103304452</v>
      </c>
      <c r="F25" s="162">
        <v>18600483</v>
      </c>
      <c r="G25" s="162">
        <v>12988715809</v>
      </c>
      <c r="H25" s="162">
        <v>2465580780</v>
      </c>
      <c r="I25" s="162">
        <f t="shared" si="0"/>
        <v>690375065.369344</v>
      </c>
      <c r="J25" s="167"/>
      <c r="K25" s="170"/>
    </row>
    <row r="26" spans="1:11" ht="12.75" customHeight="1">
      <c r="A26" s="158" t="s">
        <v>77</v>
      </c>
      <c r="B26" s="159"/>
      <c r="C26" s="165" t="s">
        <v>78</v>
      </c>
      <c r="D26" s="161">
        <v>1998898</v>
      </c>
      <c r="E26" s="162">
        <v>43298805</v>
      </c>
      <c r="F26" s="162">
        <v>9619276</v>
      </c>
      <c r="G26" s="162">
        <v>6931913422</v>
      </c>
      <c r="H26" s="162">
        <v>1442508858</v>
      </c>
      <c r="I26" s="162">
        <f t="shared" si="0"/>
        <v>316330744.24311495</v>
      </c>
      <c r="J26" s="167"/>
      <c r="K26" s="170"/>
    </row>
    <row r="27" spans="1:11" ht="12.75" customHeight="1">
      <c r="A27" s="158">
        <v>18</v>
      </c>
      <c r="B27" s="159"/>
      <c r="C27" s="160" t="s">
        <v>80</v>
      </c>
      <c r="D27" s="161">
        <v>936454</v>
      </c>
      <c r="E27" s="162">
        <v>12007005</v>
      </c>
      <c r="F27" s="162">
        <v>5217719</v>
      </c>
      <c r="G27" s="162">
        <v>1575613942</v>
      </c>
      <c r="H27" s="162">
        <v>690856351</v>
      </c>
      <c r="I27" s="162">
        <f t="shared" si="0"/>
        <v>123220852.29121941</v>
      </c>
      <c r="J27" s="167">
        <f>+J28+J29</f>
        <v>9398353</v>
      </c>
      <c r="K27" s="168">
        <f>+K28+K29</f>
        <v>1</v>
      </c>
    </row>
    <row r="28" spans="1:11" ht="12.75" customHeight="1">
      <c r="A28" s="158" t="s">
        <v>81</v>
      </c>
      <c r="B28" s="159"/>
      <c r="C28" s="165" t="s">
        <v>82</v>
      </c>
      <c r="D28" s="166">
        <f>+$K$28*D27</f>
        <v>836029.5075986186</v>
      </c>
      <c r="E28" s="166">
        <f>+$K$28*E27</f>
        <v>10719384.484325072</v>
      </c>
      <c r="F28" s="166">
        <f>+$K$28*F27</f>
        <v>4658175.464419989</v>
      </c>
      <c r="G28" s="166">
        <f>+$K$28*G27</f>
        <v>1406646507.031609</v>
      </c>
      <c r="H28" s="166">
        <f>+$K$28*H27</f>
        <v>616769531.603163</v>
      </c>
      <c r="I28" s="166">
        <f t="shared" si="0"/>
        <v>110006757.90472388</v>
      </c>
      <c r="J28" s="167">
        <v>8390482</v>
      </c>
      <c r="K28" s="170">
        <f>+J28/J27</f>
        <v>0.8927608911901904</v>
      </c>
    </row>
    <row r="29" spans="1:11" ht="12.75" customHeight="1">
      <c r="A29" s="158" t="s">
        <v>83</v>
      </c>
      <c r="B29" s="159"/>
      <c r="C29" s="165" t="s">
        <v>84</v>
      </c>
      <c r="D29" s="166">
        <f>+$K$29*D27</f>
        <v>100424.4924013814</v>
      </c>
      <c r="E29" s="166">
        <f>+$K$29*E27</f>
        <v>1287620.5156749273</v>
      </c>
      <c r="F29" s="166">
        <f>+$K$29*F27</f>
        <v>559543.5355800107</v>
      </c>
      <c r="G29" s="166">
        <f>+$K$29*G27</f>
        <v>168967434.96839097</v>
      </c>
      <c r="H29" s="166">
        <f>+$K$29*H27</f>
        <v>74086819.39683698</v>
      </c>
      <c r="I29" s="166">
        <f t="shared" si="0"/>
        <v>13214094.386495551</v>
      </c>
      <c r="J29" s="167">
        <v>1007871</v>
      </c>
      <c r="K29" s="170">
        <f>+J29/J27</f>
        <v>0.10723910880980955</v>
      </c>
    </row>
    <row r="30" spans="1:11" ht="12.75" customHeight="1">
      <c r="A30" s="158" t="s">
        <v>85</v>
      </c>
      <c r="B30" s="159"/>
      <c r="C30" s="165" t="s">
        <v>86</v>
      </c>
      <c r="D30" s="166">
        <f>+D31+D34</f>
        <v>12817001</v>
      </c>
      <c r="E30" s="166">
        <f>+E31+E34</f>
        <v>100743716</v>
      </c>
      <c r="F30" s="166">
        <f>+F31+F34</f>
        <v>12447992</v>
      </c>
      <c r="G30" s="166">
        <f>+G31+G34</f>
        <v>12954902123</v>
      </c>
      <c r="H30" s="166">
        <f>+H31+H34</f>
        <v>1637953011</v>
      </c>
      <c r="I30" s="166">
        <f t="shared" si="0"/>
        <v>1652388166.501853</v>
      </c>
      <c r="J30" s="171"/>
      <c r="K30" s="172"/>
    </row>
    <row r="31" spans="1:11" ht="12.75" customHeight="1">
      <c r="A31" s="158">
        <v>19.2</v>
      </c>
      <c r="B31" s="159"/>
      <c r="C31" s="160" t="s">
        <v>88</v>
      </c>
      <c r="D31" s="161">
        <v>10278755</v>
      </c>
      <c r="E31" s="162">
        <v>96379184</v>
      </c>
      <c r="F31" s="162">
        <v>12177925</v>
      </c>
      <c r="G31" s="162">
        <v>12660809596</v>
      </c>
      <c r="H31" s="162">
        <v>1604384906</v>
      </c>
      <c r="I31" s="162">
        <f t="shared" si="0"/>
        <v>1350703244.2564864</v>
      </c>
      <c r="J31" s="163"/>
      <c r="K31" s="173"/>
    </row>
    <row r="32" spans="1:11" ht="12.75" customHeight="1">
      <c r="A32" s="158" t="s">
        <v>89</v>
      </c>
      <c r="B32" s="159"/>
      <c r="C32" s="160" t="s">
        <v>90</v>
      </c>
      <c r="D32" s="174">
        <f>+D33+D35</f>
        <v>2177787</v>
      </c>
      <c r="E32" s="174">
        <f>+E33+E35</f>
        <v>42815828</v>
      </c>
      <c r="F32" s="174">
        <f>+F33+F35</f>
        <v>5232652</v>
      </c>
      <c r="G32" s="174">
        <f>+G33+G35</f>
        <v>5085066674</v>
      </c>
      <c r="H32" s="174">
        <f>+H33+H35</f>
        <v>628583625</v>
      </c>
      <c r="I32" s="174">
        <f t="shared" si="0"/>
        <v>258969968.325914</v>
      </c>
      <c r="J32" s="163"/>
      <c r="K32" s="164"/>
    </row>
    <row r="33" spans="1:11" ht="12.75" customHeight="1">
      <c r="A33" s="158">
        <v>19.4</v>
      </c>
      <c r="B33" s="159"/>
      <c r="C33" s="160" t="s">
        <v>92</v>
      </c>
      <c r="D33" s="161">
        <v>1965849</v>
      </c>
      <c r="E33" s="162">
        <v>41496736</v>
      </c>
      <c r="F33" s="162">
        <v>5059009</v>
      </c>
      <c r="G33" s="162">
        <v>4925377060</v>
      </c>
      <c r="H33" s="162">
        <v>609811944</v>
      </c>
      <c r="I33" s="162">
        <f t="shared" si="0"/>
        <v>233727239.64194742</v>
      </c>
      <c r="J33" s="163"/>
      <c r="K33" s="164"/>
    </row>
    <row r="34" spans="1:11" ht="12.75" customHeight="1">
      <c r="A34" s="158">
        <v>21.1</v>
      </c>
      <c r="B34" s="159"/>
      <c r="C34" s="160" t="s">
        <v>94</v>
      </c>
      <c r="D34" s="161">
        <v>2538246</v>
      </c>
      <c r="E34" s="162">
        <v>4364532</v>
      </c>
      <c r="F34" s="162">
        <v>270067</v>
      </c>
      <c r="G34" s="162">
        <v>294092527</v>
      </c>
      <c r="H34" s="162">
        <v>33568105</v>
      </c>
      <c r="I34" s="162">
        <f t="shared" si="0"/>
        <v>179450970.52225488</v>
      </c>
      <c r="J34" s="163"/>
      <c r="K34" s="164"/>
    </row>
    <row r="35" spans="1:11" ht="12.75" customHeight="1">
      <c r="A35" s="158">
        <v>21.2</v>
      </c>
      <c r="B35" s="159"/>
      <c r="C35" s="160" t="s">
        <v>96</v>
      </c>
      <c r="D35" s="161">
        <v>211938</v>
      </c>
      <c r="E35" s="162">
        <v>1319092</v>
      </c>
      <c r="F35" s="162">
        <v>173643</v>
      </c>
      <c r="G35" s="162">
        <v>159689614</v>
      </c>
      <c r="H35" s="162">
        <v>18771681</v>
      </c>
      <c r="I35" s="162">
        <f t="shared" si="0"/>
        <v>25337873.058319125</v>
      </c>
      <c r="J35" s="163"/>
      <c r="K35" s="164"/>
    </row>
    <row r="36" spans="1:11" ht="12.75" customHeight="1">
      <c r="A36" s="175">
        <v>22</v>
      </c>
      <c r="B36" s="159"/>
      <c r="C36" s="160" t="s">
        <v>98</v>
      </c>
      <c r="D36" s="161">
        <v>114285</v>
      </c>
      <c r="E36" s="162">
        <v>2078368</v>
      </c>
      <c r="F36" s="162">
        <v>310928</v>
      </c>
      <c r="G36" s="162">
        <v>153229538</v>
      </c>
      <c r="H36" s="162">
        <v>29914982</v>
      </c>
      <c r="I36" s="162">
        <f t="shared" si="0"/>
        <v>8760183.530295117</v>
      </c>
      <c r="J36" s="163"/>
      <c r="K36" s="164"/>
    </row>
    <row r="37" spans="1:11" ht="12.75" customHeight="1">
      <c r="A37" s="175">
        <v>23</v>
      </c>
      <c r="B37" s="159"/>
      <c r="C37" s="160" t="s">
        <v>101</v>
      </c>
      <c r="D37" s="161">
        <v>95708</v>
      </c>
      <c r="E37" s="162">
        <v>1063840</v>
      </c>
      <c r="F37" s="162">
        <v>171953</v>
      </c>
      <c r="G37" s="162">
        <v>110693953</v>
      </c>
      <c r="H37" s="162">
        <v>18082717</v>
      </c>
      <c r="I37" s="162">
        <f t="shared" si="0"/>
        <v>9973318.777788837</v>
      </c>
      <c r="J37" s="163"/>
      <c r="K37" s="164"/>
    </row>
    <row r="38" spans="1:11" ht="12.75" customHeight="1">
      <c r="A38" s="175">
        <v>24</v>
      </c>
      <c r="B38" s="159"/>
      <c r="C38" s="160" t="s">
        <v>103</v>
      </c>
      <c r="D38" s="161">
        <v>239096</v>
      </c>
      <c r="E38" s="162">
        <v>2653269</v>
      </c>
      <c r="F38" s="162">
        <v>486509</v>
      </c>
      <c r="G38" s="162">
        <v>360433123</v>
      </c>
      <c r="H38" s="162">
        <v>56090545</v>
      </c>
      <c r="I38" s="162">
        <f t="shared" si="0"/>
        <v>31718530.075734016</v>
      </c>
      <c r="J38" s="163"/>
      <c r="K38" s="164"/>
    </row>
    <row r="39" spans="1:11" ht="12.75" customHeight="1">
      <c r="A39" s="175">
        <v>26</v>
      </c>
      <c r="B39" s="159"/>
      <c r="C39" s="160" t="s">
        <v>141</v>
      </c>
      <c r="D39" s="161">
        <v>21947</v>
      </c>
      <c r="E39" s="162">
        <v>214447</v>
      </c>
      <c r="F39" s="162">
        <v>28072</v>
      </c>
      <c r="G39" s="162">
        <v>21364161</v>
      </c>
      <c r="H39" s="162">
        <v>3341388</v>
      </c>
      <c r="I39" s="162">
        <f t="shared" si="0"/>
        <v>2235753.420981449</v>
      </c>
      <c r="J39" s="163"/>
      <c r="K39" s="164"/>
    </row>
    <row r="40" spans="1:11" ht="12.75" customHeight="1">
      <c r="A40" s="175">
        <v>27</v>
      </c>
      <c r="B40" s="159"/>
      <c r="C40" s="160" t="s">
        <v>108</v>
      </c>
      <c r="D40" s="161">
        <v>28269</v>
      </c>
      <c r="E40" s="162">
        <v>744777</v>
      </c>
      <c r="F40" s="162">
        <v>17545</v>
      </c>
      <c r="G40" s="162">
        <v>78906124</v>
      </c>
      <c r="H40" s="162">
        <v>2052896</v>
      </c>
      <c r="I40" s="162">
        <f t="shared" si="0"/>
        <v>3002183.5082550417</v>
      </c>
      <c r="J40" s="163"/>
      <c r="K40" s="164"/>
    </row>
    <row r="41" spans="1:11" ht="12.75" customHeight="1">
      <c r="A41" s="158" t="s">
        <v>109</v>
      </c>
      <c r="B41" s="159"/>
      <c r="C41" s="160" t="s">
        <v>110</v>
      </c>
      <c r="D41" s="161">
        <v>24815</v>
      </c>
      <c r="E41" s="162">
        <v>756238</v>
      </c>
      <c r="F41" s="162">
        <v>18110</v>
      </c>
      <c r="G41" s="162">
        <v>59109215</v>
      </c>
      <c r="H41" s="162">
        <v>2009428</v>
      </c>
      <c r="I41" s="162">
        <f t="shared" si="0"/>
        <v>1958627.291663438</v>
      </c>
      <c r="J41" s="163"/>
      <c r="K41" s="164"/>
    </row>
    <row r="42" spans="1:11" ht="12.75" customHeight="1">
      <c r="A42" s="158" t="s">
        <v>111</v>
      </c>
      <c r="B42" s="159"/>
      <c r="C42" s="160" t="s">
        <v>112</v>
      </c>
      <c r="D42" s="161">
        <v>3718</v>
      </c>
      <c r="E42" s="162">
        <v>209797</v>
      </c>
      <c r="F42" s="162">
        <v>1134</v>
      </c>
      <c r="G42" s="162">
        <v>15819137</v>
      </c>
      <c r="H42" s="162">
        <v>37659</v>
      </c>
      <c r="I42" s="162">
        <f t="shared" si="0"/>
        <v>279501.67366579594</v>
      </c>
      <c r="J42" s="163"/>
      <c r="K42" s="164"/>
    </row>
    <row r="43" spans="1:11" ht="12.75" customHeight="1" thickBot="1">
      <c r="A43" s="176" t="s">
        <v>113</v>
      </c>
      <c r="B43" s="177"/>
      <c r="C43" s="178" t="s">
        <v>114</v>
      </c>
      <c r="D43" s="179">
        <v>74811</v>
      </c>
      <c r="E43" s="180">
        <v>-488065</v>
      </c>
      <c r="F43" s="180">
        <v>107798</v>
      </c>
      <c r="G43" s="180">
        <v>66797904</v>
      </c>
      <c r="H43" s="180">
        <v>4722232</v>
      </c>
      <c r="I43" s="180">
        <f t="shared" si="0"/>
        <v>-14070358.180688832</v>
      </c>
      <c r="J43" s="181"/>
      <c r="K43" s="182"/>
    </row>
    <row r="44" spans="1:11" s="189" customFormat="1" ht="12.75" customHeight="1" thickBot="1">
      <c r="A44" s="183"/>
      <c r="B44" s="183"/>
      <c r="C44" s="184"/>
      <c r="D44" s="185"/>
      <c r="E44" s="186"/>
      <c r="F44" s="186"/>
      <c r="G44" s="186"/>
      <c r="H44" s="186"/>
      <c r="I44" s="186"/>
      <c r="J44" s="187"/>
      <c r="K44" s="188"/>
    </row>
    <row r="45" spans="1:11" s="196" customFormat="1" ht="21" customHeight="1" thickBot="1">
      <c r="A45" s="190"/>
      <c r="B45" s="191"/>
      <c r="C45" s="192" t="s">
        <v>115</v>
      </c>
      <c r="D45" s="193">
        <f>SUM(D10:D43)-D16-D20-D24-D27-D30-D32</f>
        <v>32403633</v>
      </c>
      <c r="E45" s="193">
        <f>SUM(E10:E43)-E16-E20-E24-E27-E30-E32</f>
        <v>422655806</v>
      </c>
      <c r="F45" s="193">
        <f>SUM(F10:F43)-F16-F20-F24-F27-F30-F32</f>
        <v>72696410</v>
      </c>
      <c r="G45" s="193">
        <f>SUM(G10:G43)-G16-G20-G24-G27-G30-G32</f>
        <v>54176339567</v>
      </c>
      <c r="H45" s="193">
        <f>SUM(H10:H43)-H16-H20-H24-H27-H30-H32</f>
        <v>9280417420</v>
      </c>
      <c r="I45" s="193">
        <f>+D45*(G45+H45)/(E45+F45)</f>
        <v>4151045252.9739647</v>
      </c>
      <c r="J45" s="194"/>
      <c r="K45" s="195"/>
    </row>
    <row r="46" spans="1:11" ht="12.75">
      <c r="A46" s="197"/>
      <c r="B46" s="198"/>
      <c r="C46" s="199"/>
      <c r="D46" s="199"/>
      <c r="E46" s="199"/>
      <c r="F46" s="199"/>
      <c r="G46" s="199"/>
      <c r="H46" s="199"/>
      <c r="I46" s="199"/>
      <c r="J46" s="199"/>
      <c r="K46" s="199"/>
    </row>
    <row r="47" spans="1:11" ht="12.75">
      <c r="A47" s="197"/>
      <c r="B47" s="198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1:11" ht="12.75">
      <c r="A48" s="197"/>
      <c r="B48" s="198"/>
      <c r="C48" s="199"/>
      <c r="D48" s="203"/>
      <c r="E48" s="203"/>
      <c r="F48" s="203"/>
      <c r="G48" s="203"/>
      <c r="H48" s="203"/>
      <c r="I48" s="203"/>
      <c r="J48" s="199"/>
      <c r="K48" s="199"/>
    </row>
  </sheetData>
  <sheetProtection/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- 9/15/2021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1" sqref="A1:G1"/>
    </sheetView>
  </sheetViews>
  <sheetFormatPr defaultColWidth="9.28125" defaultRowHeight="12.75"/>
  <cols>
    <col min="1" max="1" width="12.8515625" style="210" customWidth="1"/>
    <col min="2" max="2" width="22.00390625" style="266" customWidth="1"/>
    <col min="3" max="3" width="13.00390625" style="210" customWidth="1"/>
    <col min="4" max="4" width="6.7109375" style="210" bestFit="1" customWidth="1"/>
    <col min="5" max="5" width="13.7109375" style="238" customWidth="1"/>
    <col min="6" max="6" width="6.7109375" style="238" bestFit="1" customWidth="1"/>
    <col min="7" max="7" width="16.28125" style="210" customWidth="1"/>
    <col min="8" max="8" width="6.00390625" style="210" customWidth="1"/>
    <col min="9" max="9" width="10.8515625" style="210" hidden="1" customWidth="1"/>
    <col min="10" max="16384" width="9.28125" style="210" customWidth="1"/>
  </cols>
  <sheetData>
    <row r="1" spans="1:7" s="204" customFormat="1" ht="69.75" customHeight="1" thickBot="1">
      <c r="A1" s="411" t="s">
        <v>0</v>
      </c>
      <c r="B1" s="411"/>
      <c r="C1" s="411"/>
      <c r="D1" s="411"/>
      <c r="E1" s="411"/>
      <c r="F1" s="411"/>
      <c r="G1" s="411"/>
    </row>
    <row r="2" spans="1:7" ht="6" customHeight="1">
      <c r="A2" s="205"/>
      <c r="B2" s="206"/>
      <c r="C2" s="207"/>
      <c r="D2" s="207"/>
      <c r="E2" s="208"/>
      <c r="F2" s="208"/>
      <c r="G2" s="209"/>
    </row>
    <row r="3" spans="1:7" s="216" customFormat="1" ht="7.5" customHeight="1">
      <c r="A3" s="211"/>
      <c r="B3" s="212"/>
      <c r="C3" s="213"/>
      <c r="D3" s="213"/>
      <c r="E3" s="214"/>
      <c r="F3" s="214"/>
      <c r="G3" s="215"/>
    </row>
    <row r="4" spans="1:7" s="216" customFormat="1" ht="17.25" customHeight="1">
      <c r="A4" s="211"/>
      <c r="B4" s="212"/>
      <c r="C4" s="217">
        <v>2019</v>
      </c>
      <c r="D4" s="217"/>
      <c r="E4" s="217">
        <v>2020</v>
      </c>
      <c r="F4" s="217"/>
      <c r="G4" s="218" t="s">
        <v>143</v>
      </c>
    </row>
    <row r="5" spans="1:9" s="216" customFormat="1" ht="26.25" customHeight="1">
      <c r="A5" s="211"/>
      <c r="B5" s="212" t="s">
        <v>18</v>
      </c>
      <c r="C5" s="219" t="s">
        <v>27</v>
      </c>
      <c r="D5" s="219"/>
      <c r="E5" s="219" t="s">
        <v>27</v>
      </c>
      <c r="F5" s="219"/>
      <c r="G5" s="220" t="s">
        <v>144</v>
      </c>
      <c r="I5" s="221" t="s">
        <v>40</v>
      </c>
    </row>
    <row r="6" spans="1:9" s="216" customFormat="1" ht="15" customHeight="1" thickBot="1">
      <c r="A6" s="222"/>
      <c r="B6" s="223"/>
      <c r="C6" s="224" t="s">
        <v>2</v>
      </c>
      <c r="D6" s="225"/>
      <c r="E6" s="224" t="s">
        <v>3</v>
      </c>
      <c r="F6" s="224"/>
      <c r="G6" s="226" t="s">
        <v>145</v>
      </c>
      <c r="I6" s="227" t="s">
        <v>146</v>
      </c>
    </row>
    <row r="7" spans="1:7" ht="8.25" customHeight="1" thickBot="1">
      <c r="A7" s="228"/>
      <c r="B7" s="229"/>
      <c r="C7" s="230"/>
      <c r="D7" s="231"/>
      <c r="E7" s="230"/>
      <c r="F7" s="231"/>
      <c r="G7" s="232"/>
    </row>
    <row r="8" spans="1:9" ht="15" customHeight="1">
      <c r="A8" s="233" t="s">
        <v>41</v>
      </c>
      <c r="B8" s="234" t="s">
        <v>42</v>
      </c>
      <c r="C8" s="235">
        <v>0.9464187893708585</v>
      </c>
      <c r="D8" s="236" t="s">
        <v>43</v>
      </c>
      <c r="E8" s="235">
        <v>0.9908701693934334</v>
      </c>
      <c r="F8" s="236" t="s">
        <v>43</v>
      </c>
      <c r="G8" s="237">
        <f>+E8-C8</f>
        <v>0.04445138002257487</v>
      </c>
      <c r="I8" s="238">
        <f>+E8/C8-1</f>
        <v>0.046967981322649344</v>
      </c>
    </row>
    <row r="9" spans="1:9" ht="15" customHeight="1">
      <c r="A9" s="239" t="s">
        <v>45</v>
      </c>
      <c r="B9" s="240" t="s">
        <v>46</v>
      </c>
      <c r="C9" s="241">
        <v>0.8305467946416821</v>
      </c>
      <c r="D9" s="242" t="s">
        <v>43</v>
      </c>
      <c r="E9" s="241">
        <v>0.8405808614465139</v>
      </c>
      <c r="F9" s="242" t="s">
        <v>43</v>
      </c>
      <c r="G9" s="243">
        <f aca="true" t="shared" si="0" ref="G9:G43">+E9-C9</f>
        <v>0.010034066804831765</v>
      </c>
      <c r="I9" s="238">
        <f aca="true" t="shared" si="1" ref="I9:I43">+E9/C9-1</f>
        <v>0.01208127810445725</v>
      </c>
    </row>
    <row r="10" spans="1:9" ht="15" customHeight="1">
      <c r="A10" s="239" t="s">
        <v>47</v>
      </c>
      <c r="B10" s="240" t="s">
        <v>48</v>
      </c>
      <c r="C10" s="241">
        <v>1.2163311483153292</v>
      </c>
      <c r="D10" s="244" t="s">
        <v>59</v>
      </c>
      <c r="E10" s="241">
        <v>1.3538333883705174</v>
      </c>
      <c r="F10" s="242" t="s">
        <v>43</v>
      </c>
      <c r="G10" s="243">
        <f t="shared" si="0"/>
        <v>0.13750224005518819</v>
      </c>
      <c r="I10" s="238">
        <f t="shared" si="1"/>
        <v>0.11304671449517234</v>
      </c>
    </row>
    <row r="11" spans="1:9" ht="15" customHeight="1">
      <c r="A11" s="239" t="s">
        <v>49</v>
      </c>
      <c r="B11" s="240" t="s">
        <v>50</v>
      </c>
      <c r="C11" s="241">
        <v>0.6397819843822129</v>
      </c>
      <c r="D11" s="244" t="s">
        <v>99</v>
      </c>
      <c r="E11" s="241">
        <v>0.791210063607816</v>
      </c>
      <c r="F11" s="242" t="s">
        <v>43</v>
      </c>
      <c r="G11" s="243">
        <f t="shared" si="0"/>
        <v>0.15142807922560308</v>
      </c>
      <c r="I11" s="238">
        <f t="shared" si="1"/>
        <v>0.23668700107556995</v>
      </c>
    </row>
    <row r="12" spans="1:9" ht="15" customHeight="1">
      <c r="A12" s="239" t="s">
        <v>51</v>
      </c>
      <c r="B12" s="240" t="s">
        <v>52</v>
      </c>
      <c r="C12" s="241">
        <v>0.9850361093748544</v>
      </c>
      <c r="D12" s="242" t="s">
        <v>43</v>
      </c>
      <c r="E12" s="241">
        <v>0.9853711623054978</v>
      </c>
      <c r="F12" s="242" t="s">
        <v>43</v>
      </c>
      <c r="G12" s="243">
        <f t="shared" si="0"/>
        <v>0.00033505293064339803</v>
      </c>
      <c r="I12" s="238">
        <f t="shared" si="1"/>
        <v>0.00034014279015215365</v>
      </c>
    </row>
    <row r="13" spans="1:9" ht="15" customHeight="1">
      <c r="A13" s="239" t="s">
        <v>53</v>
      </c>
      <c r="B13" s="240" t="s">
        <v>54</v>
      </c>
      <c r="C13" s="241">
        <v>0.7865728065733878</v>
      </c>
      <c r="D13" s="242" t="s">
        <v>43</v>
      </c>
      <c r="E13" s="241">
        <v>0.8961055142684093</v>
      </c>
      <c r="F13" s="242" t="s">
        <v>43</v>
      </c>
      <c r="G13" s="243">
        <f t="shared" si="0"/>
        <v>0.10953270769502155</v>
      </c>
      <c r="I13" s="238">
        <f t="shared" si="1"/>
        <v>0.13925310763308474</v>
      </c>
    </row>
    <row r="14" spans="1:9" ht="15" customHeight="1">
      <c r="A14" s="239" t="s">
        <v>55</v>
      </c>
      <c r="B14" s="240" t="s">
        <v>56</v>
      </c>
      <c r="C14" s="241">
        <v>1.7414932276456936</v>
      </c>
      <c r="D14" s="242" t="s">
        <v>43</v>
      </c>
      <c r="E14" s="241">
        <v>1.7434755596365439</v>
      </c>
      <c r="F14" s="242" t="s">
        <v>43</v>
      </c>
      <c r="G14" s="243">
        <f t="shared" si="0"/>
        <v>0.0019823319908502945</v>
      </c>
      <c r="I14" s="238">
        <f t="shared" si="1"/>
        <v>0.001138294401253681</v>
      </c>
    </row>
    <row r="15" spans="1:9" ht="15" customHeight="1">
      <c r="A15" s="239" t="s">
        <v>57</v>
      </c>
      <c r="B15" s="240" t="s">
        <v>58</v>
      </c>
      <c r="C15" s="241">
        <v>0.8508252919620011</v>
      </c>
      <c r="D15" s="242" t="s">
        <v>43</v>
      </c>
      <c r="E15" s="241">
        <v>0.8555015993499964</v>
      </c>
      <c r="F15" s="242" t="s">
        <v>59</v>
      </c>
      <c r="G15" s="243">
        <f t="shared" si="0"/>
        <v>0.004676307387995293</v>
      </c>
      <c r="I15" s="238">
        <f t="shared" si="1"/>
        <v>0.005496201666985945</v>
      </c>
    </row>
    <row r="16" spans="1:9" ht="15" customHeight="1">
      <c r="A16" s="239" t="s">
        <v>60</v>
      </c>
      <c r="B16" s="240" t="s">
        <v>61</v>
      </c>
      <c r="C16" s="241">
        <v>2.5650933252697095</v>
      </c>
      <c r="D16" s="242" t="s">
        <v>70</v>
      </c>
      <c r="E16" s="241">
        <v>2.8433306647870635</v>
      </c>
      <c r="F16" s="242" t="s">
        <v>43</v>
      </c>
      <c r="G16" s="243">
        <f t="shared" si="0"/>
        <v>0.2782373395173541</v>
      </c>
      <c r="I16" s="238">
        <f t="shared" si="1"/>
        <v>0.10847064969384634</v>
      </c>
    </row>
    <row r="17" spans="1:9" ht="15" customHeight="1">
      <c r="A17" s="239" t="s">
        <v>62</v>
      </c>
      <c r="B17" s="240" t="s">
        <v>63</v>
      </c>
      <c r="C17" s="241">
        <v>0.35279440682688934</v>
      </c>
      <c r="D17" s="242" t="s">
        <v>43</v>
      </c>
      <c r="E17" s="241">
        <v>0.38732053946044664</v>
      </c>
      <c r="F17" s="242" t="s">
        <v>43</v>
      </c>
      <c r="G17" s="243">
        <f t="shared" si="0"/>
        <v>0.034526132633557305</v>
      </c>
      <c r="I17" s="238">
        <f t="shared" si="1"/>
        <v>0.09786473925165917</v>
      </c>
    </row>
    <row r="18" spans="1:9" ht="15" customHeight="1">
      <c r="A18" s="239" t="s">
        <v>64</v>
      </c>
      <c r="B18" s="240" t="s">
        <v>65</v>
      </c>
      <c r="C18" s="241">
        <v>3.0264299036004285</v>
      </c>
      <c r="D18" s="242" t="s">
        <v>43</v>
      </c>
      <c r="E18" s="241">
        <v>2.9614351978812086</v>
      </c>
      <c r="F18" s="242" t="s">
        <v>43</v>
      </c>
      <c r="G18" s="243">
        <f t="shared" si="0"/>
        <v>-0.06499470571921995</v>
      </c>
      <c r="I18" s="238">
        <f t="shared" si="1"/>
        <v>-0.021475701664822378</v>
      </c>
    </row>
    <row r="19" spans="1:9" ht="15" customHeight="1">
      <c r="A19" s="239" t="s">
        <v>66</v>
      </c>
      <c r="B19" s="240" t="s">
        <v>67</v>
      </c>
      <c r="C19" s="241">
        <v>4.968471018861197</v>
      </c>
      <c r="D19" s="242" t="s">
        <v>43</v>
      </c>
      <c r="E19" s="241">
        <v>4.939811371381628</v>
      </c>
      <c r="F19" s="242" t="s">
        <v>59</v>
      </c>
      <c r="G19" s="243">
        <f t="shared" si="0"/>
        <v>-0.02865964747956884</v>
      </c>
      <c r="I19" s="238">
        <f t="shared" si="1"/>
        <v>-0.005768303240729744</v>
      </c>
    </row>
    <row r="20" spans="1:9" ht="15" customHeight="1">
      <c r="A20" s="239" t="s">
        <v>68</v>
      </c>
      <c r="B20" s="240" t="s">
        <v>147</v>
      </c>
      <c r="C20" s="241">
        <v>2.438042156331004</v>
      </c>
      <c r="D20" s="242" t="s">
        <v>43</v>
      </c>
      <c r="E20" s="241">
        <v>2.430610214344578</v>
      </c>
      <c r="F20" s="242" t="s">
        <v>70</v>
      </c>
      <c r="G20" s="243">
        <f t="shared" si="0"/>
        <v>-0.0074319419864261604</v>
      </c>
      <c r="I20" s="238">
        <f t="shared" si="1"/>
        <v>-0.0030483238229196408</v>
      </c>
    </row>
    <row r="21" spans="1:9" ht="15" customHeight="1">
      <c r="A21" s="239" t="s">
        <v>71</v>
      </c>
      <c r="B21" s="240" t="s">
        <v>72</v>
      </c>
      <c r="C21" s="241">
        <v>1</v>
      </c>
      <c r="D21" s="242" t="s">
        <v>70</v>
      </c>
      <c r="E21" s="241">
        <v>1</v>
      </c>
      <c r="F21" s="242" t="s">
        <v>70</v>
      </c>
      <c r="G21" s="243">
        <f t="shared" si="0"/>
        <v>0</v>
      </c>
      <c r="I21" s="238">
        <f t="shared" si="1"/>
        <v>0</v>
      </c>
    </row>
    <row r="22" spans="1:9" ht="15" customHeight="1">
      <c r="A22" s="239" t="s">
        <v>73</v>
      </c>
      <c r="B22" s="240" t="s">
        <v>74</v>
      </c>
      <c r="C22" s="241">
        <v>3.2309484948269596</v>
      </c>
      <c r="D22" s="242" t="s">
        <v>70</v>
      </c>
      <c r="E22" s="241">
        <v>3.0642917842230175</v>
      </c>
      <c r="F22" s="242" t="s">
        <v>43</v>
      </c>
      <c r="G22" s="243">
        <f t="shared" si="0"/>
        <v>-0.16665671060394205</v>
      </c>
      <c r="I22" s="238">
        <f t="shared" si="1"/>
        <v>-0.05158135788013163</v>
      </c>
    </row>
    <row r="23" spans="1:9" ht="15" customHeight="1">
      <c r="A23" s="239" t="s">
        <v>75</v>
      </c>
      <c r="B23" s="240" t="s">
        <v>76</v>
      </c>
      <c r="C23" s="241">
        <v>3.555018562766018</v>
      </c>
      <c r="D23" s="242" t="s">
        <v>43</v>
      </c>
      <c r="E23" s="241">
        <v>3.3328987445991727</v>
      </c>
      <c r="F23" s="242" t="s">
        <v>43</v>
      </c>
      <c r="G23" s="243">
        <f t="shared" si="0"/>
        <v>-0.22211981816684512</v>
      </c>
      <c r="I23" s="238">
        <f t="shared" si="1"/>
        <v>-0.06248063526116232</v>
      </c>
    </row>
    <row r="24" spans="1:9" ht="15" customHeight="1">
      <c r="A24" s="239" t="s">
        <v>77</v>
      </c>
      <c r="B24" s="240" t="s">
        <v>78</v>
      </c>
      <c r="C24" s="241">
        <v>2.7823477366492737</v>
      </c>
      <c r="D24" s="242" t="s">
        <v>43</v>
      </c>
      <c r="E24" s="241">
        <v>2.6457942427499086</v>
      </c>
      <c r="F24" s="242" t="s">
        <v>43</v>
      </c>
      <c r="G24" s="243">
        <f t="shared" si="0"/>
        <v>-0.1365534938993651</v>
      </c>
      <c r="I24" s="238">
        <f t="shared" si="1"/>
        <v>-0.04907851455828949</v>
      </c>
    </row>
    <row r="25" spans="1:9" ht="15" customHeight="1">
      <c r="A25" s="239" t="s">
        <v>79</v>
      </c>
      <c r="B25" s="240" t="s">
        <v>80</v>
      </c>
      <c r="C25" s="241">
        <v>5.135178222014258</v>
      </c>
      <c r="D25" s="242" t="s">
        <v>43</v>
      </c>
      <c r="E25" s="241">
        <v>4.989053246286272</v>
      </c>
      <c r="F25" s="242" t="s">
        <v>43</v>
      </c>
      <c r="G25" s="243">
        <f t="shared" si="0"/>
        <v>-0.14612497572798677</v>
      </c>
      <c r="I25" s="238">
        <f t="shared" si="1"/>
        <v>-0.02845567756568923</v>
      </c>
    </row>
    <row r="26" spans="1:9" ht="15" customHeight="1">
      <c r="A26" s="239" t="s">
        <v>81</v>
      </c>
      <c r="B26" s="240" t="s">
        <v>82</v>
      </c>
      <c r="C26" s="241">
        <v>5.186084535399705</v>
      </c>
      <c r="D26" s="242" t="s">
        <v>43</v>
      </c>
      <c r="E26" s="241">
        <v>5.093982158779044</v>
      </c>
      <c r="F26" s="242" t="s">
        <v>70</v>
      </c>
      <c r="G26" s="243">
        <f t="shared" si="0"/>
        <v>-0.09210237662066145</v>
      </c>
      <c r="I26" s="238">
        <f t="shared" si="1"/>
        <v>-0.01775952088555044</v>
      </c>
    </row>
    <row r="27" spans="1:9" ht="15" customHeight="1">
      <c r="A27" s="239" t="s">
        <v>83</v>
      </c>
      <c r="B27" s="240" t="s">
        <v>84</v>
      </c>
      <c r="C27" s="241">
        <v>4.7116145683418225</v>
      </c>
      <c r="D27" s="242" t="s">
        <v>43</v>
      </c>
      <c r="E27" s="241">
        <v>4.484998889983944</v>
      </c>
      <c r="F27" s="242" t="s">
        <v>43</v>
      </c>
      <c r="G27" s="243">
        <f t="shared" si="0"/>
        <v>-0.2266156783578781</v>
      </c>
      <c r="I27" s="238">
        <f t="shared" si="1"/>
        <v>-0.0480972446007254</v>
      </c>
    </row>
    <row r="28" spans="1:9" ht="15" customHeight="1">
      <c r="A28" s="239" t="s">
        <v>85</v>
      </c>
      <c r="B28" s="240" t="s">
        <v>86</v>
      </c>
      <c r="C28" s="241">
        <v>0.7605128831261064</v>
      </c>
      <c r="D28" s="242" t="s">
        <v>70</v>
      </c>
      <c r="E28" s="241">
        <v>0.7466616256294768</v>
      </c>
      <c r="F28" s="242" t="s">
        <v>43</v>
      </c>
      <c r="G28" s="243">
        <f t="shared" si="0"/>
        <v>-0.013851257496629632</v>
      </c>
      <c r="I28" s="238">
        <f t="shared" si="1"/>
        <v>-0.018213047804915172</v>
      </c>
    </row>
    <row r="29" spans="1:9" ht="15" customHeight="1">
      <c r="A29" s="239" t="s">
        <v>87</v>
      </c>
      <c r="B29" s="240" t="s">
        <v>88</v>
      </c>
      <c r="C29" s="241">
        <v>1.2122869580552238</v>
      </c>
      <c r="D29" s="242" t="s">
        <v>70</v>
      </c>
      <c r="E29" s="241">
        <v>1.2289421602119517</v>
      </c>
      <c r="F29" s="242" t="s">
        <v>59</v>
      </c>
      <c r="G29" s="243">
        <f t="shared" si="0"/>
        <v>0.01665520215672789</v>
      </c>
      <c r="I29" s="238">
        <f t="shared" si="1"/>
        <v>0.01373866314906702</v>
      </c>
    </row>
    <row r="30" spans="1:9" ht="15" customHeight="1">
      <c r="A30" s="239" t="s">
        <v>89</v>
      </c>
      <c r="B30" s="240" t="s">
        <v>90</v>
      </c>
      <c r="C30" s="241">
        <v>1.4006772332026394</v>
      </c>
      <c r="D30" s="242" t="s">
        <v>70</v>
      </c>
      <c r="E30" s="241">
        <v>1.4587109121430526</v>
      </c>
      <c r="F30" s="242" t="s">
        <v>43</v>
      </c>
      <c r="G30" s="243">
        <f t="shared" si="0"/>
        <v>0.058033678940413225</v>
      </c>
      <c r="I30" s="238">
        <f t="shared" si="1"/>
        <v>0.041432585298555535</v>
      </c>
    </row>
    <row r="31" spans="1:9" ht="15" customHeight="1">
      <c r="A31" s="239" t="s">
        <v>91</v>
      </c>
      <c r="B31" s="240" t="s">
        <v>92</v>
      </c>
      <c r="C31" s="241">
        <v>1.586192537414253</v>
      </c>
      <c r="D31" s="242" t="s">
        <v>70</v>
      </c>
      <c r="E31" s="241">
        <v>1.6737264255562208</v>
      </c>
      <c r="F31" s="242" t="s">
        <v>43</v>
      </c>
      <c r="G31" s="243">
        <f t="shared" si="0"/>
        <v>0.08753388814196783</v>
      </c>
      <c r="I31" s="238">
        <f t="shared" si="1"/>
        <v>0.055184907303032826</v>
      </c>
    </row>
    <row r="32" spans="1:9" ht="15" customHeight="1">
      <c r="A32" s="239" t="s">
        <v>93</v>
      </c>
      <c r="B32" s="240" t="s">
        <v>94</v>
      </c>
      <c r="C32" s="241">
        <v>0.06675907382490334</v>
      </c>
      <c r="D32" s="242" t="s">
        <v>70</v>
      </c>
      <c r="E32" s="241">
        <v>0.07309859769299859</v>
      </c>
      <c r="F32" s="242" t="s">
        <v>43</v>
      </c>
      <c r="G32" s="243">
        <f t="shared" si="0"/>
        <v>0.006339523868095248</v>
      </c>
      <c r="I32" s="238">
        <f t="shared" si="1"/>
        <v>0.0949612315581645</v>
      </c>
    </row>
    <row r="33" spans="1:9" ht="15" customHeight="1">
      <c r="A33" s="239" t="s">
        <v>95</v>
      </c>
      <c r="B33" s="240" t="s">
        <v>96</v>
      </c>
      <c r="C33" s="241">
        <v>0.28649471785267566</v>
      </c>
      <c r="D33" s="242" t="s">
        <v>43</v>
      </c>
      <c r="E33" s="241">
        <v>0.3116197069985335</v>
      </c>
      <c r="F33" s="242" t="s">
        <v>43</v>
      </c>
      <c r="G33" s="243">
        <f t="shared" si="0"/>
        <v>0.025124989145857812</v>
      </c>
      <c r="I33" s="238">
        <f t="shared" si="1"/>
        <v>0.08769791406338556</v>
      </c>
    </row>
    <row r="34" spans="1:9" ht="15" customHeight="1">
      <c r="A34" s="239" t="s">
        <v>97</v>
      </c>
      <c r="B34" s="240" t="s">
        <v>98</v>
      </c>
      <c r="C34" s="241">
        <v>1.7978954660358604</v>
      </c>
      <c r="D34" s="242" t="s">
        <v>43</v>
      </c>
      <c r="E34" s="241">
        <v>1.532093104182432</v>
      </c>
      <c r="F34" s="242" t="s">
        <v>99</v>
      </c>
      <c r="G34" s="243">
        <f t="shared" si="0"/>
        <v>-0.2658023618534284</v>
      </c>
      <c r="I34" s="238">
        <f t="shared" si="1"/>
        <v>-0.14784083217000943</v>
      </c>
    </row>
    <row r="35" spans="1:9" ht="15" customHeight="1">
      <c r="A35" s="239" t="s">
        <v>100</v>
      </c>
      <c r="B35" s="240" t="s">
        <v>101</v>
      </c>
      <c r="C35" s="241">
        <v>2.5843136539504687</v>
      </c>
      <c r="D35" s="242" t="s">
        <v>43</v>
      </c>
      <c r="E35" s="241">
        <v>2.6569693326058865</v>
      </c>
      <c r="F35" s="242" t="s">
        <v>43</v>
      </c>
      <c r="G35" s="243">
        <f t="shared" si="0"/>
        <v>0.07265567865541778</v>
      </c>
      <c r="I35" s="238">
        <f t="shared" si="1"/>
        <v>0.02811411012140641</v>
      </c>
    </row>
    <row r="36" spans="1:9" ht="15" customHeight="1">
      <c r="A36" s="239" t="s">
        <v>102</v>
      </c>
      <c r="B36" s="240" t="s">
        <v>103</v>
      </c>
      <c r="C36" s="241">
        <v>3.3894596264458956</v>
      </c>
      <c r="D36" s="244" t="s">
        <v>99</v>
      </c>
      <c r="E36" s="241">
        <v>3.2689752038350917</v>
      </c>
      <c r="F36" s="242" t="s">
        <v>43</v>
      </c>
      <c r="G36" s="243">
        <f t="shared" si="0"/>
        <v>-0.12048442261080394</v>
      </c>
      <c r="I36" s="238">
        <f t="shared" si="1"/>
        <v>-0.03554679385195714</v>
      </c>
    </row>
    <row r="37" spans="1:9" ht="15" customHeight="1">
      <c r="A37" s="239" t="s">
        <v>104</v>
      </c>
      <c r="B37" s="240" t="s">
        <v>105</v>
      </c>
      <c r="C37" s="241">
        <v>0.9750339124507608</v>
      </c>
      <c r="D37" s="242" t="s">
        <v>70</v>
      </c>
      <c r="E37" s="241">
        <v>0.6942320297933339</v>
      </c>
      <c r="F37" s="242" t="s">
        <v>70</v>
      </c>
      <c r="G37" s="243">
        <f t="shared" si="0"/>
        <v>-0.2808018826574269</v>
      </c>
      <c r="I37" s="238">
        <f t="shared" si="1"/>
        <v>-0.2879919139957169</v>
      </c>
    </row>
    <row r="38" spans="1:9" ht="15" customHeight="1">
      <c r="A38" s="239" t="s">
        <v>107</v>
      </c>
      <c r="B38" s="240" t="s">
        <v>108</v>
      </c>
      <c r="C38" s="241">
        <v>1.357457057382719</v>
      </c>
      <c r="D38" s="242" t="s">
        <v>59</v>
      </c>
      <c r="E38" s="241">
        <v>1.3358894349054864</v>
      </c>
      <c r="F38" s="242" t="s">
        <v>59</v>
      </c>
      <c r="G38" s="243">
        <f t="shared" si="0"/>
        <v>-0.02156762247723254</v>
      </c>
      <c r="I38" s="238">
        <f t="shared" si="1"/>
        <v>-0.015888253967176413</v>
      </c>
    </row>
    <row r="39" spans="1:9" ht="15" customHeight="1">
      <c r="A39" s="239" t="s">
        <v>109</v>
      </c>
      <c r="B39" s="240" t="s">
        <v>110</v>
      </c>
      <c r="C39" s="241">
        <v>0.8729754560936955</v>
      </c>
      <c r="D39" s="242" t="s">
        <v>43</v>
      </c>
      <c r="E39" s="241">
        <v>0.8439574327924343</v>
      </c>
      <c r="F39" s="242" t="s">
        <v>99</v>
      </c>
      <c r="G39" s="243">
        <f t="shared" si="0"/>
        <v>-0.029018023301261242</v>
      </c>
      <c r="I39" s="238">
        <f t="shared" si="1"/>
        <v>-0.03324036557809795</v>
      </c>
    </row>
    <row r="40" spans="1:9" ht="15" customHeight="1">
      <c r="A40" s="239" t="s">
        <v>111</v>
      </c>
      <c r="B40" s="240" t="s">
        <v>112</v>
      </c>
      <c r="C40" s="241">
        <v>0.2011768599035046</v>
      </c>
      <c r="D40" s="242" t="s">
        <v>43</v>
      </c>
      <c r="E40" s="241">
        <v>0.19936312915058949</v>
      </c>
      <c r="F40" s="242" t="s">
        <v>70</v>
      </c>
      <c r="G40" s="243">
        <f t="shared" si="0"/>
        <v>-0.0018137307529151048</v>
      </c>
      <c r="I40" s="238">
        <f t="shared" si="1"/>
        <v>-0.00901560325469375</v>
      </c>
    </row>
    <row r="41" spans="1:9" ht="15" customHeight="1" thickBot="1">
      <c r="A41" s="245" t="s">
        <v>113</v>
      </c>
      <c r="B41" s="246" t="s">
        <v>114</v>
      </c>
      <c r="C41" s="241">
        <v>1.7917856858947427</v>
      </c>
      <c r="D41" s="242" t="s">
        <v>43</v>
      </c>
      <c r="E41" s="241">
        <v>3.864402256845207</v>
      </c>
      <c r="F41" s="242" t="s">
        <v>43</v>
      </c>
      <c r="G41" s="247">
        <f t="shared" si="0"/>
        <v>2.0726165709504643</v>
      </c>
      <c r="I41" s="238">
        <f t="shared" si="1"/>
        <v>1.1567324079361012</v>
      </c>
    </row>
    <row r="42" spans="1:9" ht="8.25" customHeight="1" thickBot="1">
      <c r="A42" s="248"/>
      <c r="B42" s="249"/>
      <c r="C42" s="250"/>
      <c r="D42" s="250"/>
      <c r="E42" s="250"/>
      <c r="F42" s="250"/>
      <c r="G42" s="251"/>
      <c r="I42" s="238"/>
    </row>
    <row r="43" spans="1:9" ht="21" customHeight="1" thickBot="1">
      <c r="A43" s="252"/>
      <c r="B43" s="253" t="s">
        <v>115</v>
      </c>
      <c r="C43" s="254">
        <v>1.62</v>
      </c>
      <c r="D43" s="254"/>
      <c r="E43" s="254">
        <v>1.611709573158863</v>
      </c>
      <c r="F43" s="254"/>
      <c r="G43" s="255">
        <f t="shared" si="0"/>
        <v>-0.00829042684113701</v>
      </c>
      <c r="I43" s="238">
        <f t="shared" si="1"/>
        <v>-0.005117547432800573</v>
      </c>
    </row>
    <row r="44" spans="1:7" ht="15" customHeight="1">
      <c r="A44" s="256"/>
      <c r="B44" s="257"/>
      <c r="C44" s="258"/>
      <c r="D44" s="258"/>
      <c r="E44" s="258"/>
      <c r="F44" s="258"/>
      <c r="G44" s="258"/>
    </row>
    <row r="45" spans="1:4" ht="14.25">
      <c r="A45" s="259" t="s">
        <v>117</v>
      </c>
      <c r="B45" s="260" t="s">
        <v>148</v>
      </c>
      <c r="C45" s="261"/>
      <c r="D45" s="261"/>
    </row>
    <row r="46" spans="1:4" ht="14.25">
      <c r="A46" s="262"/>
      <c r="B46" s="260" t="s">
        <v>149</v>
      </c>
      <c r="C46" s="263"/>
      <c r="D46" s="263"/>
    </row>
    <row r="47" spans="1:4" ht="14.25">
      <c r="A47" s="264"/>
      <c r="B47" s="260" t="s">
        <v>150</v>
      </c>
      <c r="C47" s="265"/>
      <c r="D47" s="265"/>
    </row>
    <row r="48" spans="2:7" ht="14.25">
      <c r="B48" s="409" t="s">
        <v>151</v>
      </c>
      <c r="C48" s="409"/>
      <c r="D48" s="409"/>
      <c r="E48" s="409"/>
      <c r="F48" s="409"/>
      <c r="G48" s="409"/>
    </row>
    <row r="49" spans="2:7" ht="14.25">
      <c r="B49" s="409" t="s">
        <v>152</v>
      </c>
      <c r="C49" s="409"/>
      <c r="D49" s="409"/>
      <c r="E49" s="409"/>
      <c r="F49" s="409"/>
      <c r="G49" s="409"/>
    </row>
    <row r="50" spans="2:7" ht="14.25" customHeight="1">
      <c r="B50" s="409" t="s">
        <v>153</v>
      </c>
      <c r="C50" s="409"/>
      <c r="D50" s="409"/>
      <c r="E50" s="409"/>
      <c r="F50" s="409"/>
      <c r="G50" s="409"/>
    </row>
    <row r="51" spans="2:7" ht="14.25" customHeight="1">
      <c r="B51" s="409" t="s">
        <v>123</v>
      </c>
      <c r="C51" s="409"/>
      <c r="D51" s="409"/>
      <c r="E51" s="409"/>
      <c r="F51" s="409"/>
      <c r="G51" s="409"/>
    </row>
  </sheetData>
  <sheetProtection/>
  <mergeCells count="5">
    <mergeCell ref="A1:G1"/>
    <mergeCell ref="B48:G48"/>
    <mergeCell ref="B49:G49"/>
    <mergeCell ref="B50:G50"/>
    <mergeCell ref="B51:G51"/>
  </mergeCells>
  <printOptions horizontalCentered="1"/>
  <pageMargins left="0" right="0" top="0.5" bottom="0.5" header="0.3" footer="0.3"/>
  <pageSetup fitToHeight="1" fitToWidth="1" horizontalDpi="600" verticalDpi="600" orientation="portrait" scale="92" r:id="rId1"/>
  <headerFooter alignWithMargins="0">
    <oddFooter>&amp;L&amp;8California Department of Insurance&amp;R&amp;8Rate Specialist Bureau  - 9/15/2021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SheetLayoutView="103" zoomScalePageLayoutView="0" workbookViewId="0" topLeftCell="A1">
      <selection activeCell="A1" sqref="A1:D1"/>
    </sheetView>
  </sheetViews>
  <sheetFormatPr defaultColWidth="9.140625" defaultRowHeight="12.75"/>
  <cols>
    <col min="1" max="1" width="11.00390625" style="390" customWidth="1"/>
    <col min="2" max="2" width="31.28125" style="379" customWidth="1"/>
    <col min="3" max="3" width="24.140625" style="391" bestFit="1" customWidth="1"/>
    <col min="4" max="4" width="14.8515625" style="391" customWidth="1"/>
    <col min="5" max="5" width="6.421875" style="392" customWidth="1"/>
    <col min="6" max="6" width="9.140625" style="361" customWidth="1"/>
    <col min="7" max="7" width="9.140625" style="379" hidden="1" customWidth="1"/>
    <col min="8" max="16384" width="9.140625" style="379" customWidth="1"/>
  </cols>
  <sheetData>
    <row r="1" spans="1:6" s="362" customFormat="1" ht="17.25" customHeight="1">
      <c r="A1" s="412" t="s">
        <v>217</v>
      </c>
      <c r="B1" s="412"/>
      <c r="C1" s="412"/>
      <c r="D1" s="412"/>
      <c r="E1" s="360"/>
      <c r="F1" s="361"/>
    </row>
    <row r="2" spans="1:6" s="362" customFormat="1" ht="18" customHeight="1">
      <c r="A2" s="413" t="s">
        <v>218</v>
      </c>
      <c r="B2" s="413"/>
      <c r="C2" s="413"/>
      <c r="D2" s="413"/>
      <c r="E2" s="363"/>
      <c r="F2" s="361"/>
    </row>
    <row r="3" spans="1:6" s="362" customFormat="1" ht="12.75" customHeight="1">
      <c r="A3" s="363"/>
      <c r="B3" s="363"/>
      <c r="C3" s="363"/>
      <c r="D3" s="363"/>
      <c r="E3" s="363"/>
      <c r="F3" s="361"/>
    </row>
    <row r="4" spans="1:6" s="362" customFormat="1" ht="12.75" customHeight="1">
      <c r="A4" s="363"/>
      <c r="B4" s="363"/>
      <c r="C4" s="363"/>
      <c r="D4" s="281"/>
      <c r="E4" s="363"/>
      <c r="F4" s="361"/>
    </row>
    <row r="5" spans="1:6" s="365" customFormat="1" ht="6" customHeight="1" thickBot="1">
      <c r="A5" s="364"/>
      <c r="B5" s="364"/>
      <c r="C5" s="364"/>
      <c r="D5" s="364"/>
      <c r="E5" s="364"/>
      <c r="F5" s="361"/>
    </row>
    <row r="6" spans="1:6" s="369" customFormat="1" ht="12.75" customHeight="1">
      <c r="A6" s="366"/>
      <c r="B6" s="367"/>
      <c r="C6" s="368" t="s">
        <v>219</v>
      </c>
      <c r="D6" s="414" t="s">
        <v>220</v>
      </c>
      <c r="E6" s="415"/>
      <c r="F6" s="361"/>
    </row>
    <row r="7" spans="1:7" s="373" customFormat="1" ht="12.75" customHeight="1" thickBot="1">
      <c r="A7" s="370" t="s">
        <v>161</v>
      </c>
      <c r="B7" s="371" t="s">
        <v>18</v>
      </c>
      <c r="C7" s="372" t="s">
        <v>221</v>
      </c>
      <c r="D7" s="416" t="s">
        <v>164</v>
      </c>
      <c r="E7" s="417"/>
      <c r="F7" s="361"/>
      <c r="G7" s="292" t="s">
        <v>40</v>
      </c>
    </row>
    <row r="8" spans="1:7" ht="15.75" customHeight="1">
      <c r="A8" s="374" t="s">
        <v>41</v>
      </c>
      <c r="B8" s="375" t="s">
        <v>42</v>
      </c>
      <c r="C8" s="376">
        <v>0.49987916017975204</v>
      </c>
      <c r="D8" s="377">
        <v>0.9908701693934334</v>
      </c>
      <c r="E8" s="378" t="s">
        <v>43</v>
      </c>
      <c r="G8" s="300" t="s">
        <v>44</v>
      </c>
    </row>
    <row r="9" spans="1:7" ht="12.75" customHeight="1">
      <c r="A9" s="380" t="s">
        <v>45</v>
      </c>
      <c r="B9" s="375" t="s">
        <v>46</v>
      </c>
      <c r="C9" s="376">
        <v>0.48378394701008326</v>
      </c>
      <c r="D9" s="381">
        <v>0.8405808614465139</v>
      </c>
      <c r="E9" s="382" t="s">
        <v>43</v>
      </c>
      <c r="G9" s="300" t="s">
        <v>44</v>
      </c>
    </row>
    <row r="10" spans="1:7" ht="15" customHeight="1" hidden="1">
      <c r="A10" s="380" t="s">
        <v>167</v>
      </c>
      <c r="B10" s="375" t="s">
        <v>168</v>
      </c>
      <c r="C10" s="376">
        <v>0.2952040371624041</v>
      </c>
      <c r="D10" s="383"/>
      <c r="E10" s="382"/>
      <c r="G10" s="300"/>
    </row>
    <row r="11" spans="1:7" ht="15" customHeight="1" hidden="1">
      <c r="A11" s="380" t="s">
        <v>169</v>
      </c>
      <c r="B11" s="375" t="s">
        <v>170</v>
      </c>
      <c r="C11" s="376">
        <v>0.5428319185899996</v>
      </c>
      <c r="D11" s="383"/>
      <c r="E11" s="382"/>
      <c r="G11" s="300"/>
    </row>
    <row r="12" spans="1:7" ht="15" customHeight="1">
      <c r="A12" s="380" t="s">
        <v>47</v>
      </c>
      <c r="B12" s="375" t="s">
        <v>48</v>
      </c>
      <c r="C12" s="376">
        <v>0.0464244349444015</v>
      </c>
      <c r="D12" s="381">
        <v>1.3538333883705174</v>
      </c>
      <c r="E12" s="382" t="s">
        <v>43</v>
      </c>
      <c r="G12" s="300" t="s">
        <v>44</v>
      </c>
    </row>
    <row r="13" spans="1:7" ht="15" customHeight="1">
      <c r="A13" s="380" t="s">
        <v>49</v>
      </c>
      <c r="B13" s="375" t="s">
        <v>50</v>
      </c>
      <c r="C13" s="376">
        <v>0.44121180182166986</v>
      </c>
      <c r="D13" s="381">
        <v>0.791210063607816</v>
      </c>
      <c r="E13" s="382" t="s">
        <v>43</v>
      </c>
      <c r="G13" s="300" t="s">
        <v>44</v>
      </c>
    </row>
    <row r="14" spans="1:7" ht="12.75" customHeight="1">
      <c r="A14" s="384" t="s">
        <v>51</v>
      </c>
      <c r="B14" s="375" t="s">
        <v>52</v>
      </c>
      <c r="C14" s="376">
        <v>0.4762655900424814</v>
      </c>
      <c r="D14" s="381">
        <v>0.9853711623054978</v>
      </c>
      <c r="E14" s="382" t="s">
        <v>43</v>
      </c>
      <c r="G14" s="300" t="s">
        <v>44</v>
      </c>
    </row>
    <row r="15" spans="1:7" ht="12.75" customHeight="1">
      <c r="A15" s="385" t="s">
        <v>53</v>
      </c>
      <c r="B15" s="375" t="s">
        <v>54</v>
      </c>
      <c r="C15" s="376">
        <v>0.518209285069315</v>
      </c>
      <c r="D15" s="381">
        <v>0.8961055142684093</v>
      </c>
      <c r="E15" s="382" t="s">
        <v>43</v>
      </c>
      <c r="G15" s="300" t="s">
        <v>44</v>
      </c>
    </row>
    <row r="16" spans="1:7" ht="12.75" customHeight="1">
      <c r="A16" s="385" t="s">
        <v>55</v>
      </c>
      <c r="B16" s="375" t="s">
        <v>56</v>
      </c>
      <c r="C16" s="376">
        <v>0.48838031971370827</v>
      </c>
      <c r="D16" s="381">
        <v>1.7434755596365439</v>
      </c>
      <c r="E16" s="382" t="s">
        <v>43</v>
      </c>
      <c r="G16" s="300" t="s">
        <v>44</v>
      </c>
    </row>
    <row r="17" spans="1:7" ht="12.75" customHeight="1">
      <c r="A17" s="385" t="s">
        <v>57</v>
      </c>
      <c r="B17" s="375" t="s">
        <v>222</v>
      </c>
      <c r="C17" s="376">
        <v>0.48296506859491667</v>
      </c>
      <c r="D17" s="381">
        <v>0.8555015993499964</v>
      </c>
      <c r="E17" s="382" t="s">
        <v>59</v>
      </c>
      <c r="G17" s="300" t="s">
        <v>44</v>
      </c>
    </row>
    <row r="18" spans="1:7" ht="12.75" customHeight="1">
      <c r="A18" s="385" t="s">
        <v>60</v>
      </c>
      <c r="B18" s="375" t="s">
        <v>223</v>
      </c>
      <c r="C18" s="376">
        <v>0.4980172257046888</v>
      </c>
      <c r="D18" s="381">
        <v>2.8433306647870635</v>
      </c>
      <c r="E18" s="382" t="s">
        <v>43</v>
      </c>
      <c r="G18" s="300" t="s">
        <v>44</v>
      </c>
    </row>
    <row r="19" spans="1:7" ht="15" customHeight="1" hidden="1">
      <c r="A19" s="385" t="s">
        <v>171</v>
      </c>
      <c r="B19" s="375" t="s">
        <v>172</v>
      </c>
      <c r="C19" s="376">
        <v>0.39411408006283905</v>
      </c>
      <c r="D19" s="383"/>
      <c r="E19" s="382"/>
      <c r="G19" s="300"/>
    </row>
    <row r="20" spans="1:7" ht="15" customHeight="1" hidden="1">
      <c r="A20" s="385" t="s">
        <v>173</v>
      </c>
      <c r="B20" s="375" t="s">
        <v>174</v>
      </c>
      <c r="C20" s="376">
        <v>0.38727235641183644</v>
      </c>
      <c r="D20" s="383"/>
      <c r="E20" s="382"/>
      <c r="G20" s="300"/>
    </row>
    <row r="21" spans="1:7" ht="12.75" customHeight="1">
      <c r="A21" s="385" t="s">
        <v>62</v>
      </c>
      <c r="B21" s="375" t="s">
        <v>63</v>
      </c>
      <c r="C21" s="376">
        <v>0.27279693855486054</v>
      </c>
      <c r="D21" s="381">
        <v>0.38732053946044664</v>
      </c>
      <c r="E21" s="382" t="s">
        <v>43</v>
      </c>
      <c r="G21" s="300" t="s">
        <v>44</v>
      </c>
    </row>
    <row r="22" spans="1:7" ht="15" customHeight="1" hidden="1">
      <c r="A22" s="380">
        <v>10</v>
      </c>
      <c r="B22" s="375" t="s">
        <v>176</v>
      </c>
      <c r="C22" s="376">
        <v>8.515016548520657</v>
      </c>
      <c r="D22" s="383"/>
      <c r="E22" s="382"/>
      <c r="G22" s="300"/>
    </row>
    <row r="23" spans="1:7" ht="12.75" customHeight="1">
      <c r="A23" s="380">
        <v>11</v>
      </c>
      <c r="B23" s="375" t="s">
        <v>65</v>
      </c>
      <c r="C23" s="376">
        <v>0.5513965098272936</v>
      </c>
      <c r="D23" s="381">
        <v>2.9614351978812086</v>
      </c>
      <c r="E23" s="382" t="s">
        <v>43</v>
      </c>
      <c r="G23" s="300" t="s">
        <v>44</v>
      </c>
    </row>
    <row r="24" spans="1:7" ht="12.75" customHeight="1">
      <c r="A24" s="380">
        <v>11.1</v>
      </c>
      <c r="B24" s="375" t="s">
        <v>180</v>
      </c>
      <c r="C24" s="376">
        <v>0.6747692455586359</v>
      </c>
      <c r="D24" s="381">
        <v>4.939811371381628</v>
      </c>
      <c r="E24" s="382" t="s">
        <v>59</v>
      </c>
      <c r="G24" s="300" t="s">
        <v>44</v>
      </c>
    </row>
    <row r="25" spans="1:7" ht="12.75" customHeight="1">
      <c r="A25" s="380">
        <v>11.2</v>
      </c>
      <c r="B25" s="375" t="s">
        <v>181</v>
      </c>
      <c r="C25" s="376">
        <v>0.5089551467841397</v>
      </c>
      <c r="D25" s="381">
        <v>2.430610214344578</v>
      </c>
      <c r="E25" s="382" t="s">
        <v>70</v>
      </c>
      <c r="G25" s="300" t="s">
        <v>44</v>
      </c>
    </row>
    <row r="26" spans="1:7" ht="12.75" customHeight="1">
      <c r="A26" s="380">
        <v>12</v>
      </c>
      <c r="B26" s="375" t="s">
        <v>72</v>
      </c>
      <c r="C26" s="376">
        <v>0.4970535376438182</v>
      </c>
      <c r="D26" s="381">
        <v>1</v>
      </c>
      <c r="E26" s="382" t="s">
        <v>70</v>
      </c>
      <c r="G26" s="300" t="s">
        <v>44</v>
      </c>
    </row>
    <row r="27" spans="1:7" ht="15" customHeight="1" hidden="1">
      <c r="A27" s="380">
        <v>13</v>
      </c>
      <c r="B27" s="375" t="s">
        <v>182</v>
      </c>
      <c r="C27" s="376">
        <v>1.0313933540712392</v>
      </c>
      <c r="D27" s="383"/>
      <c r="E27" s="382"/>
      <c r="G27" s="300"/>
    </row>
    <row r="28" spans="1:7" ht="15" customHeight="1" hidden="1">
      <c r="A28" s="380">
        <v>14</v>
      </c>
      <c r="B28" s="375" t="s">
        <v>183</v>
      </c>
      <c r="C28" s="376">
        <v>0.594495294572644</v>
      </c>
      <c r="D28" s="383"/>
      <c r="E28" s="382"/>
      <c r="G28" s="300"/>
    </row>
    <row r="29" spans="1:7" ht="15" customHeight="1" hidden="1">
      <c r="A29" s="380">
        <v>15.1</v>
      </c>
      <c r="B29" s="375" t="s">
        <v>184</v>
      </c>
      <c r="C29" s="376">
        <v>0.1585959705734827</v>
      </c>
      <c r="D29" s="383"/>
      <c r="E29" s="382"/>
      <c r="G29" s="300"/>
    </row>
    <row r="30" spans="1:7" ht="15" customHeight="1" hidden="1">
      <c r="A30" s="380">
        <v>15.2</v>
      </c>
      <c r="B30" s="375" t="s">
        <v>185</v>
      </c>
      <c r="C30" s="376">
        <v>0.030912082745651152</v>
      </c>
      <c r="D30" s="383"/>
      <c r="E30" s="382"/>
      <c r="G30" s="300"/>
    </row>
    <row r="31" spans="1:7" ht="15" customHeight="1" hidden="1">
      <c r="A31" s="380">
        <v>15.3</v>
      </c>
      <c r="B31" s="375" t="s">
        <v>186</v>
      </c>
      <c r="C31" s="376">
        <v>29.220106326002384</v>
      </c>
      <c r="D31" s="383"/>
      <c r="E31" s="382"/>
      <c r="G31" s="300"/>
    </row>
    <row r="32" spans="1:7" ht="15" customHeight="1" hidden="1">
      <c r="A32" s="380">
        <v>15.4</v>
      </c>
      <c r="B32" s="375" t="s">
        <v>187</v>
      </c>
      <c r="C32" s="376">
        <v>0.5871953275880785</v>
      </c>
      <c r="D32" s="383"/>
      <c r="E32" s="382"/>
      <c r="G32" s="300"/>
    </row>
    <row r="33" spans="1:7" ht="15" customHeight="1" hidden="1">
      <c r="A33" s="380">
        <v>15.5</v>
      </c>
      <c r="B33" s="375" t="s">
        <v>188</v>
      </c>
      <c r="C33" s="376">
        <v>-1.7753986172696206</v>
      </c>
      <c r="D33" s="383"/>
      <c r="E33" s="382"/>
      <c r="G33" s="300"/>
    </row>
    <row r="34" spans="1:7" ht="15" customHeight="1" hidden="1">
      <c r="A34" s="380">
        <v>15.6</v>
      </c>
      <c r="B34" s="375" t="s">
        <v>189</v>
      </c>
      <c r="C34" s="376">
        <v>0</v>
      </c>
      <c r="D34" s="383"/>
      <c r="E34" s="382"/>
      <c r="G34" s="300"/>
    </row>
    <row r="35" spans="1:7" ht="15" customHeight="1" hidden="1">
      <c r="A35" s="380">
        <v>15.7</v>
      </c>
      <c r="B35" s="375" t="s">
        <v>190</v>
      </c>
      <c r="C35" s="376">
        <v>0.21380186670197157</v>
      </c>
      <c r="D35" s="383"/>
      <c r="E35" s="382"/>
      <c r="G35" s="300"/>
    </row>
    <row r="36" spans="1:7" ht="15" customHeight="1" hidden="1">
      <c r="A36" s="380">
        <v>15.8</v>
      </c>
      <c r="B36" s="375" t="s">
        <v>191</v>
      </c>
      <c r="C36" s="376">
        <v>0</v>
      </c>
      <c r="D36" s="383"/>
      <c r="E36" s="382"/>
      <c r="G36" s="300"/>
    </row>
    <row r="37" spans="1:7" ht="15" customHeight="1" hidden="1">
      <c r="A37" s="380">
        <v>16</v>
      </c>
      <c r="B37" s="375" t="s">
        <v>215</v>
      </c>
      <c r="C37" s="376">
        <v>0.3188700414184766</v>
      </c>
      <c r="D37" s="383"/>
      <c r="E37" s="382"/>
      <c r="G37" s="300"/>
    </row>
    <row r="38" spans="1:7" ht="12.75" customHeight="1">
      <c r="A38" s="380">
        <v>17</v>
      </c>
      <c r="B38" s="375" t="s">
        <v>74</v>
      </c>
      <c r="C38" s="376">
        <v>0.5963695389056345</v>
      </c>
      <c r="D38" s="381">
        <v>3.0642917842230175</v>
      </c>
      <c r="E38" s="382" t="s">
        <v>43</v>
      </c>
      <c r="G38" s="300" t="s">
        <v>44</v>
      </c>
    </row>
    <row r="39" spans="1:7" ht="12.75" customHeight="1">
      <c r="A39" s="380">
        <v>17.1</v>
      </c>
      <c r="B39" s="375" t="s">
        <v>193</v>
      </c>
      <c r="C39" s="376">
        <v>0.5656876747150953</v>
      </c>
      <c r="D39" s="381">
        <v>3.3328987445991727</v>
      </c>
      <c r="E39" s="382" t="s">
        <v>43</v>
      </c>
      <c r="G39" s="300" t="s">
        <v>44</v>
      </c>
    </row>
    <row r="40" spans="1:7" ht="12.75" customHeight="1">
      <c r="A40" s="380">
        <v>17.2</v>
      </c>
      <c r="B40" s="375" t="s">
        <v>194</v>
      </c>
      <c r="C40" s="376">
        <v>0.632873472562686</v>
      </c>
      <c r="D40" s="381">
        <v>2.6457942427499086</v>
      </c>
      <c r="E40" s="382" t="s">
        <v>43</v>
      </c>
      <c r="G40" s="300" t="s">
        <v>44</v>
      </c>
    </row>
    <row r="41" spans="1:7" ht="15" customHeight="1" hidden="1">
      <c r="A41" s="380">
        <v>17.3</v>
      </c>
      <c r="B41" s="375" t="s">
        <v>195</v>
      </c>
      <c r="C41" s="376">
        <v>0.4022815466683414</v>
      </c>
      <c r="D41" s="383"/>
      <c r="E41" s="382"/>
      <c r="G41" s="300"/>
    </row>
    <row r="42" spans="1:7" ht="12.75" customHeight="1">
      <c r="A42" s="380">
        <v>18</v>
      </c>
      <c r="B42" s="375" t="s">
        <v>80</v>
      </c>
      <c r="C42" s="376">
        <v>0.5047421066714639</v>
      </c>
      <c r="D42" s="381">
        <v>4.989053246286272</v>
      </c>
      <c r="E42" s="382" t="s">
        <v>43</v>
      </c>
      <c r="G42" s="300" t="s">
        <v>44</v>
      </c>
    </row>
    <row r="43" spans="1:7" ht="12.75" customHeight="1">
      <c r="A43" s="380">
        <v>18.1</v>
      </c>
      <c r="B43" s="375" t="s">
        <v>196</v>
      </c>
      <c r="C43" s="376">
        <v>0.5088606343491677</v>
      </c>
      <c r="D43" s="381">
        <v>5.093982158779044</v>
      </c>
      <c r="E43" s="382" t="s">
        <v>70</v>
      </c>
      <c r="G43" s="300" t="s">
        <v>44</v>
      </c>
    </row>
    <row r="44" spans="1:7" ht="12.75" customHeight="1">
      <c r="A44" s="380">
        <v>18.2</v>
      </c>
      <c r="B44" s="375" t="s">
        <v>197</v>
      </c>
      <c r="C44" s="376">
        <v>0.48393572021563874</v>
      </c>
      <c r="D44" s="381">
        <v>4.484998889983944</v>
      </c>
      <c r="E44" s="382" t="s">
        <v>43</v>
      </c>
      <c r="G44" s="300" t="s">
        <v>44</v>
      </c>
    </row>
    <row r="45" spans="1:7" ht="15" customHeight="1" hidden="1">
      <c r="A45" s="380">
        <v>19.1</v>
      </c>
      <c r="B45" s="375" t="s">
        <v>198</v>
      </c>
      <c r="C45" s="376">
        <v>-0.01619791752884504</v>
      </c>
      <c r="D45" s="383"/>
      <c r="E45" s="382"/>
      <c r="G45" s="300"/>
    </row>
    <row r="46" spans="1:7" ht="12.75" customHeight="1">
      <c r="A46" s="380" t="s">
        <v>85</v>
      </c>
      <c r="B46" s="375" t="s">
        <v>86</v>
      </c>
      <c r="C46" s="376">
        <v>0.33225379759852586</v>
      </c>
      <c r="D46" s="381">
        <v>0.7466616256294768</v>
      </c>
      <c r="E46" s="382" t="s">
        <v>43</v>
      </c>
      <c r="G46" s="300" t="s">
        <v>44</v>
      </c>
    </row>
    <row r="47" spans="1:7" ht="12.75" customHeight="1">
      <c r="A47" s="380">
        <v>19.2</v>
      </c>
      <c r="B47" s="375" t="s">
        <v>88</v>
      </c>
      <c r="C47" s="376">
        <v>0.329841496352378</v>
      </c>
      <c r="D47" s="381">
        <v>1.2289421602119517</v>
      </c>
      <c r="E47" s="382" t="s">
        <v>59</v>
      </c>
      <c r="G47" s="300" t="s">
        <v>44</v>
      </c>
    </row>
    <row r="48" spans="1:7" ht="15" customHeight="1" hidden="1">
      <c r="A48" s="380">
        <v>19.3</v>
      </c>
      <c r="B48" s="375" t="s">
        <v>216</v>
      </c>
      <c r="C48" s="376">
        <v>1.2289386157336575</v>
      </c>
      <c r="D48" s="383"/>
      <c r="E48" s="382"/>
      <c r="G48" s="300"/>
    </row>
    <row r="49" spans="1:7" ht="12.75" customHeight="1">
      <c r="A49" s="380" t="s">
        <v>89</v>
      </c>
      <c r="B49" s="375" t="s">
        <v>90</v>
      </c>
      <c r="C49" s="376">
        <v>0.47053014187199477</v>
      </c>
      <c r="D49" s="381">
        <v>1.4587109121430526</v>
      </c>
      <c r="E49" s="382" t="s">
        <v>43</v>
      </c>
      <c r="G49" s="300" t="s">
        <v>44</v>
      </c>
    </row>
    <row r="50" spans="1:7" ht="12.75" customHeight="1">
      <c r="A50" s="380">
        <v>19.4</v>
      </c>
      <c r="B50" s="375" t="s">
        <v>92</v>
      </c>
      <c r="C50" s="376">
        <v>0.4739795067762193</v>
      </c>
      <c r="D50" s="381">
        <v>1.6737264255562208</v>
      </c>
      <c r="E50" s="382" t="s">
        <v>43</v>
      </c>
      <c r="G50" s="300" t="s">
        <v>44</v>
      </c>
    </row>
    <row r="51" spans="1:7" ht="12.75" customHeight="1">
      <c r="A51" s="380">
        <v>21.1</v>
      </c>
      <c r="B51" s="375" t="s">
        <v>94</v>
      </c>
      <c r="C51" s="376">
        <v>0.33549281014277643</v>
      </c>
      <c r="D51" s="381">
        <v>0.07309859769299859</v>
      </c>
      <c r="E51" s="382" t="s">
        <v>43</v>
      </c>
      <c r="G51" s="300" t="s">
        <v>44</v>
      </c>
    </row>
    <row r="52" spans="1:7" ht="12.75" customHeight="1">
      <c r="A52" s="380">
        <v>21.2</v>
      </c>
      <c r="B52" s="375" t="s">
        <v>96</v>
      </c>
      <c r="C52" s="376">
        <v>0.457085951766899</v>
      </c>
      <c r="D52" s="381">
        <v>0.3116197069985335</v>
      </c>
      <c r="E52" s="382" t="s">
        <v>43</v>
      </c>
      <c r="G52" s="300" t="s">
        <v>44</v>
      </c>
    </row>
    <row r="53" spans="1:7" ht="12.75" customHeight="1">
      <c r="A53" s="380">
        <v>22</v>
      </c>
      <c r="B53" s="375" t="s">
        <v>98</v>
      </c>
      <c r="C53" s="376">
        <v>0.3813489240383941</v>
      </c>
      <c r="D53" s="381">
        <v>1.532093104182432</v>
      </c>
      <c r="E53" s="382" t="s">
        <v>99</v>
      </c>
      <c r="G53" s="300" t="s">
        <v>44</v>
      </c>
    </row>
    <row r="54" spans="1:7" ht="12.75" customHeight="1">
      <c r="A54" s="380">
        <v>23</v>
      </c>
      <c r="B54" s="375" t="s">
        <v>101</v>
      </c>
      <c r="C54" s="376">
        <v>0.5869284459189231</v>
      </c>
      <c r="D54" s="381">
        <v>2.6569693326058865</v>
      </c>
      <c r="E54" s="382" t="s">
        <v>43</v>
      </c>
      <c r="G54" s="300" t="s">
        <v>44</v>
      </c>
    </row>
    <row r="55" spans="1:7" ht="12.75" customHeight="1">
      <c r="A55" s="380">
        <v>24</v>
      </c>
      <c r="B55" s="375" t="s">
        <v>103</v>
      </c>
      <c r="C55" s="376">
        <v>0.6015788209396578</v>
      </c>
      <c r="D55" s="381">
        <v>3.2689752038350917</v>
      </c>
      <c r="E55" s="382" t="s">
        <v>43</v>
      </c>
      <c r="G55" s="300" t="s">
        <v>44</v>
      </c>
    </row>
    <row r="56" spans="1:7" ht="12.75" customHeight="1">
      <c r="A56" s="380">
        <v>26</v>
      </c>
      <c r="B56" s="375" t="s">
        <v>105</v>
      </c>
      <c r="C56" s="376">
        <v>0.5403463567716703</v>
      </c>
      <c r="D56" s="381">
        <v>0.6942320297933339</v>
      </c>
      <c r="E56" s="382" t="s">
        <v>70</v>
      </c>
      <c r="G56" s="300" t="s">
        <v>44</v>
      </c>
    </row>
    <row r="57" spans="1:7" ht="12.75" customHeight="1">
      <c r="A57" s="380">
        <v>27</v>
      </c>
      <c r="B57" s="375" t="s">
        <v>108</v>
      </c>
      <c r="C57" s="376">
        <v>0.5355935566925056</v>
      </c>
      <c r="D57" s="381">
        <v>1.3358894349054864</v>
      </c>
      <c r="E57" s="382" t="s">
        <v>59</v>
      </c>
      <c r="G57" s="300" t="s">
        <v>44</v>
      </c>
    </row>
    <row r="58" spans="1:7" ht="12.75" customHeight="1">
      <c r="A58" s="380">
        <v>28</v>
      </c>
      <c r="B58" s="375" t="s">
        <v>110</v>
      </c>
      <c r="C58" s="376">
        <v>0.42506730848013813</v>
      </c>
      <c r="D58" s="381">
        <v>0.8439574327924343</v>
      </c>
      <c r="E58" s="382" t="s">
        <v>99</v>
      </c>
      <c r="G58" s="300" t="s">
        <v>44</v>
      </c>
    </row>
    <row r="59" spans="1:7" ht="12.75" customHeight="1" hidden="1">
      <c r="A59" s="350">
        <v>29</v>
      </c>
      <c r="B59" s="343" t="s">
        <v>205</v>
      </c>
      <c r="C59" s="376">
        <v>0.3637089101009791</v>
      </c>
      <c r="D59" s="381">
        <v>0</v>
      </c>
      <c r="E59" s="382">
        <v>0</v>
      </c>
      <c r="G59" s="300"/>
    </row>
    <row r="60" spans="1:7" ht="12.75" customHeight="1">
      <c r="A60" s="380">
        <v>30</v>
      </c>
      <c r="B60" s="375" t="s">
        <v>112</v>
      </c>
      <c r="C60" s="376">
        <v>1.9025159551939477</v>
      </c>
      <c r="D60" s="381">
        <v>0.19936312915058949</v>
      </c>
      <c r="E60" s="382" t="s">
        <v>70</v>
      </c>
      <c r="G60" s="300" t="s">
        <v>44</v>
      </c>
    </row>
    <row r="61" spans="1:7" ht="12.75" customHeight="1">
      <c r="A61" s="380">
        <v>34</v>
      </c>
      <c r="B61" s="375" t="s">
        <v>114</v>
      </c>
      <c r="C61" s="376">
        <v>0.3664560052153267</v>
      </c>
      <c r="D61" s="381">
        <v>3.864402256845207</v>
      </c>
      <c r="E61" s="382" t="s">
        <v>43</v>
      </c>
      <c r="G61" s="300" t="s">
        <v>44</v>
      </c>
    </row>
    <row r="62" spans="1:7" ht="15" customHeight="1" hidden="1">
      <c r="A62" s="380">
        <v>35</v>
      </c>
      <c r="B62" s="375" t="s">
        <v>115</v>
      </c>
      <c r="C62" s="376">
        <v>0.44389823494630326</v>
      </c>
      <c r="D62" s="381">
        <v>0</v>
      </c>
      <c r="E62" s="382">
        <v>0</v>
      </c>
      <c r="G62" s="300"/>
    </row>
    <row r="63" spans="1:7" ht="12.75" customHeight="1">
      <c r="A63" s="380"/>
      <c r="B63" s="375" t="s">
        <v>207</v>
      </c>
      <c r="C63" s="376">
        <v>0.4377918212320139</v>
      </c>
      <c r="D63" s="381">
        <v>1.611709573158863</v>
      </c>
      <c r="E63" s="382"/>
      <c r="G63" s="300" t="s">
        <v>44</v>
      </c>
    </row>
    <row r="64" spans="1:7" ht="12.75" customHeight="1">
      <c r="A64" s="386"/>
      <c r="B64" s="387"/>
      <c r="C64" s="388"/>
      <c r="D64" s="388"/>
      <c r="E64" s="389"/>
      <c r="G64" s="300"/>
    </row>
    <row r="65" ht="11.25" customHeight="1"/>
    <row r="66" spans="1:6" s="398" customFormat="1" ht="12">
      <c r="A66" s="393" t="s">
        <v>117</v>
      </c>
      <c r="B66" s="394"/>
      <c r="C66" s="395"/>
      <c r="D66" s="395"/>
      <c r="E66" s="396"/>
      <c r="F66" s="397"/>
    </row>
    <row r="67" spans="1:6" ht="12" customHeight="1">
      <c r="A67" s="393" t="s">
        <v>224</v>
      </c>
      <c r="B67" s="393"/>
      <c r="C67" s="393"/>
      <c r="D67" s="393"/>
      <c r="E67" s="393"/>
      <c r="F67" s="393"/>
    </row>
    <row r="68" spans="1:6" ht="12" customHeight="1">
      <c r="A68" s="399" t="s">
        <v>225</v>
      </c>
      <c r="B68" s="399"/>
      <c r="C68" s="399"/>
      <c r="D68" s="399"/>
      <c r="E68" s="399"/>
      <c r="F68" s="399"/>
    </row>
    <row r="69" spans="1:6" ht="12" customHeight="1">
      <c r="A69" s="393" t="s">
        <v>226</v>
      </c>
      <c r="B69" s="393"/>
      <c r="C69" s="393"/>
      <c r="D69" s="393"/>
      <c r="E69" s="393"/>
      <c r="F69" s="393"/>
    </row>
    <row r="70" spans="1:6" ht="12" customHeight="1">
      <c r="A70" s="393" t="s">
        <v>227</v>
      </c>
      <c r="B70" s="393"/>
      <c r="C70" s="393"/>
      <c r="D70" s="393"/>
      <c r="E70" s="393"/>
      <c r="F70" s="393"/>
    </row>
    <row r="71" spans="1:6" ht="12" customHeight="1">
      <c r="A71" s="393" t="s">
        <v>228</v>
      </c>
      <c r="B71" s="393"/>
      <c r="C71" s="393"/>
      <c r="D71" s="393"/>
      <c r="E71" s="393"/>
      <c r="F71" s="393"/>
    </row>
    <row r="72" spans="1:6" ht="12" customHeight="1">
      <c r="A72" s="393" t="s">
        <v>229</v>
      </c>
      <c r="B72" s="393"/>
      <c r="C72" s="393"/>
      <c r="D72" s="393"/>
      <c r="E72" s="393"/>
      <c r="F72" s="393"/>
    </row>
    <row r="73" spans="1:6" ht="12" customHeight="1">
      <c r="A73" s="399" t="s">
        <v>123</v>
      </c>
      <c r="B73" s="399"/>
      <c r="C73" s="399"/>
      <c r="D73" s="399"/>
      <c r="E73" s="399"/>
      <c r="F73" s="399"/>
    </row>
  </sheetData>
  <sheetProtection/>
  <mergeCells count="4">
    <mergeCell ref="A1:D1"/>
    <mergeCell ref="A2:D2"/>
    <mergeCell ref="D6:E6"/>
    <mergeCell ref="D7:E7"/>
  </mergeCells>
  <printOptions horizontalCentered="1"/>
  <pageMargins left="1" right="1" top="1" bottom="0.5" header="0.3" footer="0.3"/>
  <pageSetup fitToHeight="1" fitToWidth="1" horizontalDpi="600" verticalDpi="600" orientation="portrait" scale="96" r:id="rId1"/>
  <headerFooter alignWithMargins="0">
    <oddFooter>&amp;L&amp;9California Department of Insurance&amp;R&amp;9Rate Specialist Bureau - 9/15/2021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Choy, Carol</dc:creator>
  <cp:keywords/>
  <dc:description/>
  <cp:lastModifiedBy>Choy, Carol</cp:lastModifiedBy>
  <cp:lastPrinted>2021-09-29T18:23:57Z</cp:lastPrinted>
  <dcterms:created xsi:type="dcterms:W3CDTF">2021-09-10T21:20:34Z</dcterms:created>
  <dcterms:modified xsi:type="dcterms:W3CDTF">2021-09-29T18:33:31Z</dcterms:modified>
  <cp:category/>
  <cp:version/>
  <cp:contentType/>
  <cp:contentStatus/>
</cp:coreProperties>
</file>