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athena\finance$\Actuarial\CA SB 17\2025 SB 17\"/>
    </mc:Choice>
  </mc:AlternateContent>
  <xr:revisionPtr revIDLastSave="0" documentId="13_ncr:1_{A7D81BAF-A355-4B4A-BBA7-FA2EFB95CFAA}" xr6:coauthVersionLast="47" xr6:coauthVersionMax="47" xr10:uidLastSave="{00000000-0000-0000-0000-000000000000}"/>
  <bookViews>
    <workbookView xWindow="-110" yWindow="-110" windowWidth="19420" windowHeight="10420" xr2:uid="{CDFD1E49-02D6-4997-BD72-F1AB6D0ED90E}"/>
  </bookViews>
  <sheets>
    <sheet name="Cover-Input Page " sheetId="7" r:id="rId1"/>
    <sheet name="LGARD Report===&gt;&gt;&gt;" sheetId="35" r:id="rId2"/>
    <sheet name="LGARD-#3-#6 RateChanges" sheetId="6" r:id="rId3"/>
    <sheet name="LGARD-#7-ProductsSold" sheetId="8" r:id="rId4"/>
    <sheet name="LGARD-#8-BaseRateFactors" sheetId="9" r:id="rId5"/>
    <sheet name="LGARD-#9-#10-TrendFactors" sheetId="10" r:id="rId6"/>
    <sheet name="LGARD-#11-HistData" sheetId="11" r:id="rId7"/>
    <sheet name="LGARD-#12a-EECostSharing" sheetId="12" r:id="rId8"/>
    <sheet name="LGARD-#12b-EECostSharing" sheetId="39" r:id="rId9"/>
    <sheet name="LGARD-#13-EEBenefitChanges" sheetId="25" r:id="rId10"/>
    <sheet name="LGARD-#14-CCQIEfforts" sheetId="14" r:id="rId11"/>
    <sheet name="LGARD-#15-ExciseTaxes" sheetId="15" r:id="rId12"/>
    <sheet name="LGARD-#16-LGRxReport" sheetId="16" r:id="rId13"/>
    <sheet name="LGARD-#17-OtherComments" sheetId="17" r:id="rId14"/>
    <sheet name="LGARD-#18-AdditionalInfo" sheetId="38" r:id="rId15"/>
    <sheet name="LGHistData Report ===&gt;&gt;&gt;" sheetId="36" r:id="rId16"/>
    <sheet name="LGHistData-HMO" sheetId="21" r:id="rId17"/>
    <sheet name="LGHistData-PPO" sheetId="22" r:id="rId18"/>
    <sheet name="LGHistData-Summary" sheetId="23" r:id="rId19"/>
    <sheet name="LGPDCD===&gt;&gt;&gt;" sheetId="37" r:id="rId20"/>
    <sheet name="LGPDCD-PharmPctPrem" sheetId="26" r:id="rId21"/>
    <sheet name="LGPDCD-YoYTotalPlanSpnd" sheetId="27" r:id="rId22"/>
    <sheet name="LGPDCD-YoYcompofPrem" sheetId="28" r:id="rId23"/>
    <sheet name="LGPDCD-SpecTierForm" sheetId="29" r:id="rId24"/>
    <sheet name="LGPDCD-PharmDocOff" sheetId="30" r:id="rId25"/>
    <sheet name="LGPDCD-PharmBenMgr" sheetId="31" r:id="rId26"/>
    <sheet name="LGPDCD-RxGlossary" sheetId="33" r:id="rId27"/>
  </sheets>
  <definedNames>
    <definedName name="_xlnm._FilterDatabase" localSheetId="0" hidden="1">'Cover-Input Page '!$A$5:$C$11</definedName>
    <definedName name="_xlnm.Print_Area" localSheetId="0">'Cover-Input Page '!$B$1:$D$39</definedName>
    <definedName name="_xlnm.Print_Area" localSheetId="25">'LGPDCD-PharmBenMgr'!$A$1:$E$26</definedName>
    <definedName name="_xlnm.Print_Area" localSheetId="20">'LGPDCD-PharmPctPrem'!$A$1:$C$22</definedName>
    <definedName name="_xlnm.Print_Area" localSheetId="22">'LGPDCD-YoYcompofPrem'!$A$1:$D$33</definedName>
    <definedName name="_xlnm.Print_Titles" localSheetId="25">'LGPDCD-PharmBenMgr'!$2:$26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8" l="1"/>
  <c r="C25" i="28" s="1"/>
  <c r="B23" i="28"/>
  <c r="B25" i="28" s="1"/>
  <c r="C19" i="28"/>
  <c r="B19" i="28"/>
  <c r="B17" i="28"/>
  <c r="C17" i="28" l="1"/>
  <c r="C11" i="28"/>
  <c r="B14" i="26"/>
  <c r="B13" i="26"/>
  <c r="B12" i="26"/>
  <c r="C19" i="27"/>
  <c r="B19" i="27"/>
  <c r="B14" i="27"/>
  <c r="B13" i="27"/>
  <c r="B12" i="27"/>
  <c r="C14" i="27"/>
  <c r="C13" i="27"/>
  <c r="C12" i="27"/>
  <c r="B16" i="27"/>
  <c r="C16" i="27"/>
  <c r="I47" i="22" l="1"/>
  <c r="I49" i="22"/>
  <c r="I33" i="22"/>
  <c r="I27" i="22"/>
  <c r="I26" i="22"/>
  <c r="I31" i="22"/>
  <c r="I38" i="22"/>
  <c r="I98" i="6" l="1"/>
  <c r="H98" i="6"/>
  <c r="E98" i="6"/>
  <c r="C98" i="6"/>
  <c r="E39" i="6" l="1"/>
  <c r="E40" i="6"/>
  <c r="F44" i="21" l="1"/>
  <c r="E44" i="21"/>
  <c r="H94" i="39" l="1"/>
  <c r="G94" i="39"/>
  <c r="F94" i="39"/>
  <c r="E94" i="39"/>
  <c r="D94" i="39"/>
  <c r="C94" i="39"/>
  <c r="B94" i="39"/>
  <c r="H93" i="39"/>
  <c r="H92" i="39"/>
  <c r="H91" i="39"/>
  <c r="H90" i="39"/>
  <c r="H89" i="39"/>
  <c r="H88" i="39"/>
  <c r="H83" i="39"/>
  <c r="G83" i="39"/>
  <c r="F83" i="39"/>
  <c r="E83" i="39"/>
  <c r="D83" i="39"/>
  <c r="C83" i="39"/>
  <c r="B83" i="39"/>
  <c r="H82" i="39"/>
  <c r="H81" i="39"/>
  <c r="H80" i="39"/>
  <c r="H79" i="39"/>
  <c r="H78" i="39"/>
  <c r="H77" i="39"/>
  <c r="H72" i="39"/>
  <c r="G72" i="39"/>
  <c r="F72" i="39"/>
  <c r="E72" i="39"/>
  <c r="D72" i="39"/>
  <c r="C72" i="39"/>
  <c r="B72" i="39"/>
  <c r="H71" i="39"/>
  <c r="H70" i="39"/>
  <c r="H69" i="39"/>
  <c r="H68" i="39"/>
  <c r="H67" i="39"/>
  <c r="H66" i="39"/>
  <c r="H61" i="39"/>
  <c r="H60" i="39"/>
  <c r="H59" i="39"/>
  <c r="H58" i="39"/>
  <c r="H57" i="39"/>
  <c r="H56" i="39"/>
  <c r="H55" i="39"/>
  <c r="G61" i="39"/>
  <c r="F61" i="39"/>
  <c r="E61" i="39"/>
  <c r="D61" i="39"/>
  <c r="C61" i="39"/>
  <c r="B61" i="39"/>
  <c r="G105" i="39"/>
  <c r="F105" i="39"/>
  <c r="E105" i="39"/>
  <c r="D105" i="39"/>
  <c r="C105" i="39"/>
  <c r="B105" i="39"/>
  <c r="G104" i="39"/>
  <c r="G103" i="39"/>
  <c r="G102" i="39"/>
  <c r="G101" i="39"/>
  <c r="G100" i="39"/>
  <c r="G99" i="39"/>
  <c r="G50" i="39"/>
  <c r="F50" i="39"/>
  <c r="E50" i="39"/>
  <c r="D50" i="39"/>
  <c r="C50" i="39"/>
  <c r="B50" i="39"/>
  <c r="G49" i="39"/>
  <c r="G48" i="39"/>
  <c r="G47" i="39"/>
  <c r="G46" i="39"/>
  <c r="G45" i="39"/>
  <c r="G44" i="39"/>
  <c r="G39" i="39"/>
  <c r="G38" i="39"/>
  <c r="G37" i="39"/>
  <c r="G36" i="39"/>
  <c r="G35" i="39"/>
  <c r="G34" i="39"/>
  <c r="G33" i="39"/>
  <c r="F39" i="39"/>
  <c r="E39" i="39"/>
  <c r="D39" i="39"/>
  <c r="C39" i="39"/>
  <c r="B39" i="39"/>
  <c r="I28" i="39"/>
  <c r="H28" i="39"/>
  <c r="G28" i="39"/>
  <c r="F28" i="39"/>
  <c r="E28" i="39"/>
  <c r="D28" i="39"/>
  <c r="C28" i="39"/>
  <c r="B28" i="39"/>
  <c r="I27" i="39"/>
  <c r="I26" i="39"/>
  <c r="I25" i="39"/>
  <c r="I24" i="39"/>
  <c r="I23" i="39"/>
  <c r="I22" i="39"/>
  <c r="I16" i="39"/>
  <c r="I15" i="39"/>
  <c r="I14" i="39"/>
  <c r="I13" i="39"/>
  <c r="I12" i="39"/>
  <c r="I11" i="39"/>
  <c r="H17" i="39"/>
  <c r="G17" i="39"/>
  <c r="F17" i="39"/>
  <c r="E17" i="39"/>
  <c r="D17" i="39"/>
  <c r="C17" i="39"/>
  <c r="B17" i="39"/>
  <c r="I17" i="39"/>
  <c r="A4" i="39"/>
  <c r="A3" i="39"/>
  <c r="E64" i="8"/>
  <c r="F64" i="8" s="1"/>
  <c r="D64" i="8"/>
  <c r="E55" i="8"/>
  <c r="F55" i="8" s="1"/>
  <c r="D55" i="8"/>
  <c r="E46" i="8"/>
  <c r="F46" i="8" s="1"/>
  <c r="D46" i="8"/>
  <c r="E37" i="8"/>
  <c r="F37" i="8" s="1"/>
  <c r="D37" i="8"/>
  <c r="E28" i="8"/>
  <c r="F28" i="8" s="1"/>
  <c r="D28" i="8"/>
  <c r="D19" i="8"/>
  <c r="E19" i="8"/>
  <c r="F19" i="8" s="1"/>
  <c r="E65" i="8" l="1"/>
  <c r="F65" i="8" s="1"/>
  <c r="D65" i="8"/>
  <c r="B4" i="38"/>
  <c r="B3" i="38"/>
  <c r="I49" i="10"/>
  <c r="H49" i="10"/>
  <c r="D49" i="10"/>
  <c r="E48" i="10"/>
  <c r="C47" i="10"/>
  <c r="F11" i="10"/>
  <c r="E11" i="10"/>
  <c r="D11" i="10"/>
  <c r="C9" i="10"/>
  <c r="B4" i="17"/>
  <c r="B3" i="17"/>
  <c r="B4" i="16"/>
  <c r="B3" i="16"/>
  <c r="B4" i="15"/>
  <c r="B3" i="15"/>
  <c r="B4" i="14"/>
  <c r="B3" i="14"/>
  <c r="B4" i="25"/>
  <c r="B3" i="25"/>
  <c r="B4" i="12"/>
  <c r="B3" i="12"/>
  <c r="B4" i="11"/>
  <c r="B3" i="11"/>
  <c r="B4" i="10"/>
  <c r="B3" i="10"/>
  <c r="B4" i="9"/>
  <c r="B3" i="9"/>
  <c r="B3" i="8"/>
  <c r="B4" i="8"/>
  <c r="C29" i="28"/>
  <c r="B29" i="28"/>
  <c r="C15" i="28"/>
  <c r="B15" i="28"/>
  <c r="B19" i="26"/>
  <c r="B16" i="26"/>
  <c r="A8" i="31" l="1"/>
  <c r="A8" i="30"/>
  <c r="A8" i="29"/>
  <c r="A8" i="28"/>
  <c r="A8" i="27"/>
  <c r="A8" i="26"/>
  <c r="B6" i="23"/>
  <c r="B6" i="22"/>
  <c r="B6" i="21"/>
  <c r="E20" i="10" l="1"/>
  <c r="H58" i="10"/>
  <c r="J74" i="6"/>
  <c r="J73" i="6"/>
  <c r="B18" i="26"/>
  <c r="B11" i="26"/>
  <c r="B10" i="30"/>
  <c r="C10" i="28"/>
  <c r="B10" i="28"/>
  <c r="C11" i="27"/>
  <c r="B11" i="27"/>
  <c r="B18" i="27"/>
  <c r="B31" i="28"/>
  <c r="A7" i="31"/>
  <c r="A7" i="30"/>
  <c r="A7" i="29"/>
  <c r="A7" i="28"/>
  <c r="A7" i="27"/>
  <c r="B4" i="6" l="1"/>
  <c r="A7" i="26"/>
  <c r="A15" i="30"/>
  <c r="B13" i="30"/>
  <c r="B11" i="30"/>
  <c r="C31" i="28"/>
  <c r="D27" i="28"/>
  <c r="D17" i="28"/>
  <c r="D15" i="28"/>
  <c r="D13" i="28"/>
  <c r="D11" i="28"/>
  <c r="A10" i="28"/>
  <c r="A19" i="27"/>
  <c r="C18" i="27"/>
  <c r="D16" i="27"/>
  <c r="C15" i="27"/>
  <c r="B15" i="27"/>
  <c r="D14" i="27"/>
  <c r="D13" i="27"/>
  <c r="D12" i="27"/>
  <c r="A10" i="27"/>
  <c r="B15" i="26"/>
  <c r="D29" i="28" l="1"/>
  <c r="D15" i="27"/>
  <c r="I12" i="23"/>
  <c r="H12" i="23"/>
  <c r="G12" i="23"/>
  <c r="F12" i="23"/>
  <c r="E12" i="23"/>
  <c r="E38" i="23" s="1"/>
  <c r="F38" i="23" s="1"/>
  <c r="G38" i="23" s="1"/>
  <c r="H38" i="23" s="1"/>
  <c r="I38" i="23" s="1"/>
  <c r="I12" i="22"/>
  <c r="H12" i="22"/>
  <c r="G12" i="22"/>
  <c r="F12" i="22"/>
  <c r="E12" i="22"/>
  <c r="I12" i="21"/>
  <c r="H12" i="21"/>
  <c r="G12" i="21"/>
  <c r="F12" i="21"/>
  <c r="E12" i="21"/>
  <c r="B5" i="23"/>
  <c r="B5" i="22"/>
  <c r="B5" i="21"/>
  <c r="I40" i="23"/>
  <c r="I47" i="23" s="1"/>
  <c r="H40" i="23"/>
  <c r="H47" i="23" s="1"/>
  <c r="G40" i="23"/>
  <c r="G47" i="23" s="1"/>
  <c r="F40" i="23"/>
  <c r="F47" i="23" s="1"/>
  <c r="G54" i="23" s="1"/>
  <c r="E40" i="23"/>
  <c r="E47" i="23" s="1"/>
  <c r="I14" i="23"/>
  <c r="I21" i="23" s="1"/>
  <c r="H14" i="23"/>
  <c r="H21" i="23" s="1"/>
  <c r="G14" i="23"/>
  <c r="G21" i="23" s="1"/>
  <c r="F14" i="23"/>
  <c r="F21" i="23" s="1"/>
  <c r="E14" i="23"/>
  <c r="E21" i="23" s="1"/>
  <c r="I50" i="22"/>
  <c r="I42" i="23" s="1"/>
  <c r="I49" i="23" s="1"/>
  <c r="H50" i="22"/>
  <c r="H42" i="23" s="1"/>
  <c r="H49" i="23" s="1"/>
  <c r="G50" i="22"/>
  <c r="G42" i="23" s="1"/>
  <c r="G49" i="23" s="1"/>
  <c r="F50" i="22"/>
  <c r="F42" i="23" s="1"/>
  <c r="F49" i="23" s="1"/>
  <c r="E50" i="22"/>
  <c r="E42" i="23" s="1"/>
  <c r="E49" i="23" s="1"/>
  <c r="I44" i="22"/>
  <c r="I44" i="23" s="1"/>
  <c r="I51" i="23" s="1"/>
  <c r="H44" i="22"/>
  <c r="H44" i="23" s="1"/>
  <c r="H51" i="23" s="1"/>
  <c r="G44" i="22"/>
  <c r="G44" i="23" s="1"/>
  <c r="G51" i="23" s="1"/>
  <c r="F44" i="22"/>
  <c r="F44" i="23" s="1"/>
  <c r="F51" i="23" s="1"/>
  <c r="E44" i="22"/>
  <c r="E44" i="23" s="1"/>
  <c r="E51" i="23" s="1"/>
  <c r="I35" i="22"/>
  <c r="I43" i="23" s="1"/>
  <c r="I50" i="23" s="1"/>
  <c r="H35" i="22"/>
  <c r="H43" i="23" s="1"/>
  <c r="H50" i="23" s="1"/>
  <c r="G35" i="22"/>
  <c r="G43" i="23" s="1"/>
  <c r="G50" i="23" s="1"/>
  <c r="F35" i="22"/>
  <c r="F43" i="23" s="1"/>
  <c r="F50" i="23" s="1"/>
  <c r="E35" i="22"/>
  <c r="E43" i="23" s="1"/>
  <c r="E50" i="23" s="1"/>
  <c r="I22" i="22"/>
  <c r="I41" i="23" s="1"/>
  <c r="I48" i="23" s="1"/>
  <c r="H22" i="22"/>
  <c r="H41" i="23" s="1"/>
  <c r="H48" i="23" s="1"/>
  <c r="G22" i="22"/>
  <c r="G41" i="23" s="1"/>
  <c r="G48" i="23" s="1"/>
  <c r="F22" i="22"/>
  <c r="F41" i="23" s="1"/>
  <c r="F48" i="23" s="1"/>
  <c r="E22" i="22"/>
  <c r="E41" i="23" s="1"/>
  <c r="E48" i="23" s="1"/>
  <c r="I50" i="21"/>
  <c r="I16" i="23" s="1"/>
  <c r="I23" i="23" s="1"/>
  <c r="H50" i="21"/>
  <c r="H16" i="23" s="1"/>
  <c r="H23" i="23" s="1"/>
  <c r="G50" i="21"/>
  <c r="G16" i="23" s="1"/>
  <c r="G23" i="23" s="1"/>
  <c r="F50" i="21"/>
  <c r="F16" i="23" s="1"/>
  <c r="F23" i="23" s="1"/>
  <c r="E50" i="21"/>
  <c r="E16" i="23" s="1"/>
  <c r="E23" i="23" s="1"/>
  <c r="I44" i="21"/>
  <c r="I18" i="23" s="1"/>
  <c r="I25" i="23" s="1"/>
  <c r="H44" i="21"/>
  <c r="H18" i="23" s="1"/>
  <c r="H25" i="23" s="1"/>
  <c r="G44" i="21"/>
  <c r="G18" i="23" s="1"/>
  <c r="G25" i="23" s="1"/>
  <c r="F18" i="23"/>
  <c r="F25" i="23" s="1"/>
  <c r="E18" i="23"/>
  <c r="E25" i="23" s="1"/>
  <c r="I35" i="21"/>
  <c r="I17" i="23" s="1"/>
  <c r="I24" i="23" s="1"/>
  <c r="H35" i="21"/>
  <c r="H17" i="23" s="1"/>
  <c r="H24" i="23" s="1"/>
  <c r="G35" i="21"/>
  <c r="G17" i="23" s="1"/>
  <c r="G24" i="23" s="1"/>
  <c r="F35" i="21"/>
  <c r="F17" i="23" s="1"/>
  <c r="F24" i="23" s="1"/>
  <c r="E35" i="21"/>
  <c r="E17" i="23" s="1"/>
  <c r="E24" i="23" s="1"/>
  <c r="I22" i="21"/>
  <c r="I15" i="23" s="1"/>
  <c r="I22" i="23" s="1"/>
  <c r="H22" i="21"/>
  <c r="H15" i="23" s="1"/>
  <c r="H22" i="23" s="1"/>
  <c r="G22" i="21"/>
  <c r="G15" i="23" s="1"/>
  <c r="G22" i="23" s="1"/>
  <c r="F22" i="21"/>
  <c r="F15" i="23" s="1"/>
  <c r="F22" i="23" s="1"/>
  <c r="E22" i="21"/>
  <c r="E15" i="23" s="1"/>
  <c r="E22" i="23" s="1"/>
  <c r="I55" i="23" l="1"/>
  <c r="H57" i="23"/>
  <c r="G56" i="23"/>
  <c r="G29" i="23"/>
  <c r="I32" i="23"/>
  <c r="H55" i="23"/>
  <c r="G57" i="23"/>
  <c r="F58" i="23"/>
  <c r="I54" i="23"/>
  <c r="I56" i="23"/>
  <c r="F54" i="23"/>
  <c r="H56" i="23"/>
  <c r="F57" i="23"/>
  <c r="I58" i="23"/>
  <c r="I31" i="23"/>
  <c r="H32" i="23"/>
  <c r="G30" i="23"/>
  <c r="H28" i="23"/>
  <c r="F30" i="23"/>
  <c r="H29" i="23"/>
  <c r="I29" i="23"/>
  <c r="F31" i="23"/>
  <c r="G28" i="23"/>
  <c r="F29" i="23"/>
  <c r="I30" i="23"/>
  <c r="H31" i="23"/>
  <c r="G32" i="23"/>
  <c r="I28" i="23"/>
  <c r="G55" i="23"/>
  <c r="H58" i="23"/>
  <c r="F55" i="23"/>
  <c r="F56" i="23"/>
  <c r="G58" i="23"/>
  <c r="H54" i="23"/>
  <c r="I57" i="23"/>
  <c r="F28" i="23"/>
  <c r="F32" i="23"/>
  <c r="G31" i="23"/>
  <c r="H30" i="23"/>
  <c r="I58" i="10" l="1"/>
  <c r="G53" i="8" l="1"/>
  <c r="G54" i="8"/>
  <c r="G52" i="8"/>
  <c r="G51" i="8"/>
  <c r="G50" i="8"/>
  <c r="G36" i="8"/>
  <c r="G34" i="8"/>
  <c r="G33" i="8"/>
  <c r="G35" i="8"/>
  <c r="G32" i="8"/>
  <c r="G60" i="8"/>
  <c r="G63" i="8"/>
  <c r="G62" i="8"/>
  <c r="G59" i="8"/>
  <c r="G61" i="8"/>
  <c r="G24" i="8"/>
  <c r="G27" i="8"/>
  <c r="G23" i="8"/>
  <c r="G25" i="8"/>
  <c r="G26" i="8"/>
  <c r="G45" i="8"/>
  <c r="G43" i="8"/>
  <c r="G41" i="8"/>
  <c r="G44" i="8"/>
  <c r="G42" i="8"/>
  <c r="G37" i="8" l="1"/>
  <c r="G64" i="8"/>
  <c r="G55" i="8"/>
  <c r="G46" i="8"/>
  <c r="G28" i="8"/>
  <c r="F103" i="6"/>
  <c r="E103" i="6"/>
  <c r="C103" i="6"/>
  <c r="J102" i="6"/>
  <c r="G102" i="6"/>
  <c r="J101" i="6"/>
  <c r="G101" i="6"/>
  <c r="J100" i="6"/>
  <c r="G100" i="6"/>
  <c r="J99" i="6"/>
  <c r="G99" i="6"/>
  <c r="J98" i="6"/>
  <c r="G98" i="6"/>
  <c r="J97" i="6"/>
  <c r="G97" i="6"/>
  <c r="F75" i="6"/>
  <c r="E75" i="6"/>
  <c r="C75" i="6"/>
  <c r="G74" i="6"/>
  <c r="G73" i="6"/>
  <c r="J72" i="6"/>
  <c r="G72" i="6"/>
  <c r="B7" i="6"/>
  <c r="I18" i="6" s="1"/>
  <c r="F44" i="6"/>
  <c r="E44" i="6"/>
  <c r="C44" i="6"/>
  <c r="J43" i="6"/>
  <c r="G43" i="6"/>
  <c r="J42" i="6"/>
  <c r="G42" i="6"/>
  <c r="J41" i="6"/>
  <c r="G41" i="6"/>
  <c r="J40" i="6"/>
  <c r="G40" i="6"/>
  <c r="J39" i="6"/>
  <c r="G39" i="6"/>
  <c r="J38" i="6"/>
  <c r="G38" i="6"/>
  <c r="J37" i="6"/>
  <c r="G37" i="6"/>
  <c r="J36" i="6"/>
  <c r="G36" i="6"/>
  <c r="J35" i="6"/>
  <c r="G35" i="6"/>
  <c r="J34" i="6"/>
  <c r="G34" i="6"/>
  <c r="J33" i="6"/>
  <c r="G33" i="6"/>
  <c r="J32" i="6"/>
  <c r="G32" i="6"/>
  <c r="G103" i="6" l="1"/>
  <c r="I103" i="6" s="1"/>
  <c r="G75" i="6"/>
  <c r="I75" i="6" s="1"/>
  <c r="D100" i="6"/>
  <c r="D99" i="6"/>
  <c r="D102" i="6"/>
  <c r="D98" i="6"/>
  <c r="D101" i="6"/>
  <c r="D97" i="6"/>
  <c r="D43" i="6"/>
  <c r="D39" i="6"/>
  <c r="D35" i="6"/>
  <c r="D42" i="6"/>
  <c r="D38" i="6"/>
  <c r="D34" i="6"/>
  <c r="D41" i="6"/>
  <c r="D37" i="6"/>
  <c r="D33" i="6"/>
  <c r="D40" i="6"/>
  <c r="D36" i="6"/>
  <c r="D32" i="6"/>
  <c r="D74" i="6"/>
  <c r="D73" i="6"/>
  <c r="D72" i="6"/>
  <c r="G44" i="6"/>
  <c r="I44" i="6" s="1"/>
  <c r="D75" i="6" l="1"/>
  <c r="D103" i="6"/>
  <c r="D44" i="6"/>
  <c r="H75" i="6"/>
  <c r="J75" i="6" s="1"/>
  <c r="H103" i="6"/>
  <c r="J103" i="6" s="1"/>
  <c r="H44" i="6"/>
  <c r="J44" i="6" s="1"/>
  <c r="B15" i="30"/>
  <c r="C13" i="30" s="1"/>
  <c r="C14" i="26"/>
  <c r="C12" i="26"/>
  <c r="C13" i="26"/>
  <c r="C15" i="26"/>
  <c r="C16" i="26"/>
  <c r="D19" i="27"/>
  <c r="C11" i="30" l="1"/>
  <c r="I55" i="10" l="1"/>
  <c r="I60" i="10"/>
  <c r="I52" i="10"/>
  <c r="I51" i="10"/>
  <c r="E18" i="10"/>
  <c r="H52" i="10"/>
  <c r="H55" i="10"/>
  <c r="H51" i="10"/>
  <c r="H53" i="10" l="1"/>
  <c r="E19" i="10"/>
  <c r="I50" i="10"/>
  <c r="I54" i="10"/>
  <c r="H50" i="10"/>
  <c r="D59" i="10"/>
  <c r="G59" i="10" s="1"/>
  <c r="E16" i="10"/>
  <c r="E15" i="10"/>
  <c r="H60" i="10"/>
  <c r="H54" i="10"/>
  <c r="I53" i="10" l="1"/>
  <c r="D61" i="10"/>
  <c r="G61" i="10" s="1"/>
  <c r="F59" i="10" l="1"/>
  <c r="F61" i="10" s="1"/>
  <c r="I56" i="10"/>
  <c r="H56" i="10"/>
  <c r="H57" i="10" l="1"/>
  <c r="H59" i="10" s="1"/>
  <c r="H61" i="10" s="1"/>
  <c r="I57" i="10"/>
  <c r="I59" i="10" s="1"/>
  <c r="I61" i="10" s="1"/>
  <c r="E59" i="10"/>
  <c r="E61" i="10" s="1"/>
  <c r="D19" i="28" l="1"/>
  <c r="D21" i="28" l="1"/>
  <c r="D23" i="28" l="1"/>
  <c r="D25" i="28"/>
  <c r="D21" i="10" l="1"/>
  <c r="D23" i="10" l="1"/>
  <c r="E17" i="10" l="1"/>
  <c r="E22" i="10"/>
  <c r="E13" i="10"/>
  <c r="E14" i="10"/>
  <c r="E12" i="10" l="1"/>
  <c r="E21" i="10" s="1"/>
  <c r="E23" i="10" s="1"/>
  <c r="F21" i="10"/>
  <c r="F23" i="10" s="1"/>
  <c r="G14" i="8" l="1"/>
  <c r="G17" i="8" l="1"/>
  <c r="G18" i="8"/>
  <c r="G15" i="8"/>
  <c r="G16" i="8"/>
  <c r="G19" i="8" l="1"/>
</calcChain>
</file>

<file path=xl/sharedStrings.xml><?xml version="1.0" encoding="utf-8"?>
<sst xmlns="http://schemas.openxmlformats.org/spreadsheetml/2006/main" count="3260" uniqueCount="1898">
  <si>
    <t>Month Rate Change Effective</t>
  </si>
  <si>
    <t>Number of Renewing Groups</t>
  </si>
  <si>
    <t>January</t>
  </si>
  <si>
    <t>February</t>
  </si>
  <si>
    <t>March</t>
  </si>
  <si>
    <t>April</t>
  </si>
  <si>
    <t>May</t>
  </si>
  <si>
    <t>June</t>
  </si>
  <si>
    <t>July</t>
  </si>
  <si>
    <t>August</t>
  </si>
  <si>
    <t>September</t>
  </si>
  <si>
    <t>October</t>
  </si>
  <si>
    <t>November</t>
  </si>
  <si>
    <t>December</t>
  </si>
  <si>
    <t>Overall</t>
  </si>
  <si>
    <t>Percent of Renewing Groups</t>
  </si>
  <si>
    <t>Average Premium PMPM BEFORE Renewal</t>
  </si>
  <si>
    <t>Average Premium PMPM AFTER Renewal</t>
  </si>
  <si>
    <t>Total Number of Enrollees/Covered Lives</t>
  </si>
  <si>
    <r>
      <t>Number of Enrollees/Covered Lives Affected by a Rate Change</t>
    </r>
    <r>
      <rPr>
        <vertAlign val="superscript"/>
        <sz val="12"/>
        <color theme="1"/>
        <rFont val="Arial"/>
        <family val="2"/>
      </rPr>
      <t xml:space="preserve"> 5</t>
    </r>
  </si>
  <si>
    <r>
      <rPr>
        <vertAlign val="superscript"/>
        <sz val="12"/>
        <color theme="1"/>
        <rFont val="Arial"/>
        <family val="2"/>
      </rPr>
      <t>5</t>
    </r>
    <r>
      <rPr>
        <sz val="12"/>
        <color theme="1"/>
        <rFont val="Arial"/>
        <family val="2"/>
      </rPr>
      <t xml:space="preserve"> The total number of enrollees/covered lives (employee plus dependents) affected by, or subject to, the rate change.</t>
    </r>
  </si>
  <si>
    <r>
      <rPr>
        <vertAlign val="superscript"/>
        <sz val="12"/>
        <color theme="1"/>
        <rFont val="Arial"/>
        <family val="2"/>
      </rPr>
      <t>6</t>
    </r>
    <r>
      <rPr>
        <sz val="12"/>
        <color theme="1"/>
        <rFont val="Arial"/>
        <family val="2"/>
      </rPr>
      <t xml:space="preserve"> Average percent increase means the weighted average of the annual rate increases that were offered (final rate quoted, </t>
    </r>
  </si>
  <si>
    <t>including any underwriting adjustment) (actual or a reasonable approximation when actual information is not available).</t>
  </si>
  <si>
    <t>The average shall be weighted by the sum of number of covered lives shown in columns 4 &amp; 5.</t>
  </si>
  <si>
    <t>100% Community Rated (in Whole)</t>
  </si>
  <si>
    <t>Blended (n part)</t>
  </si>
  <si>
    <t>100% Experience Rated</t>
  </si>
  <si>
    <t>PPO</t>
  </si>
  <si>
    <t>EPO</t>
  </si>
  <si>
    <t>HMO</t>
  </si>
  <si>
    <t>POS</t>
  </si>
  <si>
    <t>Other (describe)</t>
  </si>
  <si>
    <t>HDHP</t>
  </si>
  <si>
    <t>HMO=Health Maintenance Organization</t>
  </si>
  <si>
    <t>PPO=Preferred Provider Organization</t>
  </si>
  <si>
    <t>EPO-Exclusive Provider Organization</t>
  </si>
  <si>
    <t>POS = Point-of-Service</t>
  </si>
  <si>
    <t>HDHP=High Deductible Health Plan with or without Savings Options (HRA, HSA)</t>
  </si>
  <si>
    <t>Service Category</t>
  </si>
  <si>
    <t>Hospital Outpatient (including ER)</t>
  </si>
  <si>
    <t>Laboratory (Other than Inpatient)</t>
  </si>
  <si>
    <t>Capitation (Professional)</t>
  </si>
  <si>
    <t>Capitation (Institutional)</t>
  </si>
  <si>
    <t>Capitation (Other)</t>
  </si>
  <si>
    <t>Use of Services</t>
  </si>
  <si>
    <t>Price Inflation</t>
  </si>
  <si>
    <t>Fees and Risk</t>
  </si>
  <si>
    <t>California Large Group Annual Aggregate Rate Data Report Form</t>
  </si>
  <si>
    <t xml:space="preserve">         1)  Company Name (Health Plan)</t>
  </si>
  <si>
    <t xml:space="preserve">         3)  Weighted Average Rate Increase, and Number of Employees Subject to the Rate Change</t>
  </si>
  <si>
    <t xml:space="preserve">         4)  Summary of Number and Percentage of Rate Changes in Reporting Year by Effective Month</t>
  </si>
  <si>
    <t xml:space="preserve">         6)  Product Type</t>
  </si>
  <si>
    <t xml:space="preserve">         7)  Products Sold with Materially Different Benefits, Cost Share</t>
  </si>
  <si>
    <t xml:space="preserve">         8)  Factors Affecting the Base Rate</t>
  </si>
  <si>
    <t xml:space="preserve">       11)  CA Large Group Historical Rate Data Reporting Spreadsheet </t>
  </si>
  <si>
    <t xml:space="preserve">       13)  Changes in Enrollee Benefits </t>
  </si>
  <si>
    <t xml:space="preserve">       14)  Cost Containment and Quality Improvement Efforts</t>
  </si>
  <si>
    <t xml:space="preserve">       15)  Number of Products that Incurred Excise Tax Incurred by the Health Plan</t>
  </si>
  <si>
    <t xml:space="preserve">       16)  Large Group Prescription Drug Form</t>
  </si>
  <si>
    <t xml:space="preserve">       17)  Other Comments</t>
  </si>
  <si>
    <t>California Department of Managed Health Care/Department of Insurance</t>
  </si>
  <si>
    <t xml:space="preserve"> 1.</t>
  </si>
  <si>
    <t xml:space="preserve"> 3.</t>
  </si>
  <si>
    <t>DMHC Health Plan ID/CDI NAIC No.</t>
  </si>
  <si>
    <t xml:space="preserve"> 4.</t>
  </si>
  <si>
    <t xml:space="preserve"> 5.</t>
  </si>
  <si>
    <t>SERFF Tracking Number:</t>
  </si>
  <si>
    <t xml:space="preserve"> 6.</t>
  </si>
  <si>
    <t>Preparer Name:</t>
  </si>
  <si>
    <t xml:space="preserve"> 7.</t>
  </si>
  <si>
    <t>Preparer Email Address:</t>
  </si>
  <si>
    <t xml:space="preserve"> 8.</t>
  </si>
  <si>
    <t>Preparer Phone Number:</t>
  </si>
  <si>
    <t>Review Category: Initial or Resubmission</t>
  </si>
  <si>
    <t>Tab Name</t>
  </si>
  <si>
    <t>Reporting Year</t>
  </si>
  <si>
    <t>Worksheet Item / Relevant Code</t>
  </si>
  <si>
    <t>H&amp;S Code 1385.045(c)(1)(B) &amp; CIC 10181.45(c)(1)(B) - 5) Rate Changes by Segment Type</t>
  </si>
  <si>
    <t>H&amp;S Code 1385.045(a) &amp; CIC 10181.45(a) -                    4) Summary of Number and Percentage of Rate Changes in Reporting Year by Effective Month</t>
  </si>
  <si>
    <t xml:space="preserve">  * All Large Group Benefit Designs</t>
  </si>
  <si>
    <t xml:space="preserve">  * Most Commonly Sold Large Group Benefit Design</t>
  </si>
  <si>
    <r>
      <rPr>
        <vertAlign val="superscript"/>
        <sz val="12"/>
        <color theme="1"/>
        <rFont val="Arial"/>
        <family val="2"/>
      </rPr>
      <t>2</t>
    </r>
    <r>
      <rPr>
        <sz val="12"/>
        <color theme="1"/>
        <rFont val="Arial"/>
        <family val="2"/>
      </rPr>
      <t xml:space="preserve"> Average percent increase means the weighted average of the annual rate increases that were implemented</t>
    </r>
  </si>
  <si>
    <r>
      <rPr>
        <vertAlign val="superscript"/>
        <sz val="12"/>
        <color theme="1"/>
        <rFont val="Arial"/>
        <family val="2"/>
      </rPr>
      <t>3</t>
    </r>
    <r>
      <rPr>
        <sz val="12"/>
        <color theme="1"/>
        <rFont val="Arial"/>
        <family val="2"/>
      </rPr>
      <t xml:space="preserve"> "Adjusted" means normalized for aggregate changes in benefits, cost sharing, provider network, geographic</t>
    </r>
  </si>
  <si>
    <t xml:space="preserve">         5)  Segment Type, Including Whether the Rate is Community Rated, in Whole or in Part</t>
  </si>
  <si>
    <t>Describe "Other" Product Types, and any other needed comments, here:</t>
  </si>
  <si>
    <t>Actuarial Value (AV)</t>
  </si>
  <si>
    <t>Number of Plans</t>
  </si>
  <si>
    <t>Covered Lives</t>
  </si>
  <si>
    <t>Distribution of Covered Lives</t>
  </si>
  <si>
    <t>0.9 to 1.000</t>
  </si>
  <si>
    <t>0.8 to 0.899</t>
  </si>
  <si>
    <t>0.7 to 0.799</t>
  </si>
  <si>
    <t>0.6 to 0.699</t>
  </si>
  <si>
    <t>0.0 to 0.599</t>
  </si>
  <si>
    <t>Other (Describe)</t>
  </si>
  <si>
    <t>Total</t>
  </si>
  <si>
    <t>Description of the Type of Benefits and Cost Sharing Levels for Each AV Range</t>
  </si>
  <si>
    <t>In the comment section below, provide the following:</t>
  </si>
  <si>
    <t>* Number and description of standard plans (non-custom) offered, if any.  Include a description of the</t>
  </si>
  <si>
    <t>* Number of large groups with (i) custom plans and (ii) standard plans.</t>
  </si>
  <si>
    <t>Place comments here:</t>
  </si>
  <si>
    <r>
      <t>Weighted Average Annual Rate Increases (Unadjusted)</t>
    </r>
    <r>
      <rPr>
        <i/>
        <vertAlign val="superscript"/>
        <sz val="12"/>
        <color theme="1"/>
        <rFont val="Arial"/>
        <family val="2"/>
      </rPr>
      <t>2</t>
    </r>
  </si>
  <si>
    <r>
      <t>Weighted Average Annual Rate Increases (Adjusted)</t>
    </r>
    <r>
      <rPr>
        <i/>
        <vertAlign val="superscript"/>
        <sz val="12"/>
        <color theme="1"/>
        <rFont val="Arial"/>
        <family val="2"/>
      </rPr>
      <t>3</t>
    </r>
  </si>
  <si>
    <r>
      <t xml:space="preserve">  * Most Commonly Sold Large Group Benefit Design</t>
    </r>
    <r>
      <rPr>
        <vertAlign val="superscript"/>
        <sz val="12"/>
        <color theme="1"/>
        <rFont val="Arial"/>
        <family val="2"/>
      </rPr>
      <t>4</t>
    </r>
  </si>
  <si>
    <r>
      <t xml:space="preserve">         2) This report summarizes 12-month rate activity for the following reporting year</t>
    </r>
    <r>
      <rPr>
        <b/>
        <i/>
        <vertAlign val="superscript"/>
        <sz val="12"/>
        <color theme="1"/>
        <rFont val="Arial"/>
        <family val="2"/>
      </rPr>
      <t>1</t>
    </r>
    <r>
      <rPr>
        <b/>
        <i/>
        <sz val="12"/>
        <color theme="1"/>
        <rFont val="Arial"/>
        <family val="2"/>
      </rPr>
      <t>:</t>
    </r>
  </si>
  <si>
    <t>Describe any factors affecting the base rate, and the actuarial basis for those factors, including all of the following:</t>
  </si>
  <si>
    <t>Factor</t>
  </si>
  <si>
    <t>Provide Actuarial Basis, Change in Factors, and Member Months During 12-Month Period</t>
  </si>
  <si>
    <t>Geographic Region (describe)</t>
  </si>
  <si>
    <t>Age, including Age Rating Factors (provide further details, such as Age Bands)</t>
  </si>
  <si>
    <t>Occupation</t>
  </si>
  <si>
    <t>Industry</t>
  </si>
  <si>
    <t>Health Status Factors, including, but not limited to Experience and Utilization</t>
  </si>
  <si>
    <t>Enrollees' Share of Premiums</t>
  </si>
  <si>
    <t>Enrollee's Cost Sharing, including Cost Sharing for Prescription Drugs</t>
  </si>
  <si>
    <t>Covered Benefits in addition to Basic Health Care Services and any other Benefits mandated under this article</t>
  </si>
  <si>
    <t>Any other Factor, (e.g., Network Changes) that affects the rate that is not otherwise specified</t>
  </si>
  <si>
    <r>
      <t>Hospital Inpatient</t>
    </r>
    <r>
      <rPr>
        <vertAlign val="superscript"/>
        <sz val="12"/>
        <color theme="1"/>
        <rFont val="Arial"/>
        <family val="2"/>
      </rPr>
      <t>8</t>
    </r>
  </si>
  <si>
    <r>
      <t>Physician/Other Professional Services</t>
    </r>
    <r>
      <rPr>
        <vertAlign val="superscript"/>
        <sz val="12"/>
        <color theme="1"/>
        <rFont val="Arial"/>
        <family val="2"/>
      </rPr>
      <t>9</t>
    </r>
  </si>
  <si>
    <r>
      <t>Prescription Drug</t>
    </r>
    <r>
      <rPr>
        <vertAlign val="superscript"/>
        <sz val="12"/>
        <color theme="1"/>
        <rFont val="Arial"/>
        <family val="2"/>
      </rPr>
      <t>11</t>
    </r>
  </si>
  <si>
    <r>
      <t>Laboratory (Other than Inpatient)</t>
    </r>
    <r>
      <rPr>
        <vertAlign val="superscript"/>
        <sz val="12"/>
        <color theme="1"/>
        <rFont val="Arial"/>
        <family val="2"/>
      </rPr>
      <t>10</t>
    </r>
  </si>
  <si>
    <r>
      <rPr>
        <vertAlign val="superscript"/>
        <sz val="12"/>
        <color theme="1"/>
        <rFont val="Arial"/>
        <family val="2"/>
      </rPr>
      <t xml:space="preserve">7 </t>
    </r>
    <r>
      <rPr>
        <sz val="12"/>
        <color theme="1"/>
        <rFont val="Arial"/>
        <family val="2"/>
      </rPr>
      <t>"Overall" means the weighted average of trend factors used to determine rate increases included in this filing, weighting the</t>
    </r>
  </si>
  <si>
    <r>
      <rPr>
        <vertAlign val="superscript"/>
        <sz val="12"/>
        <color theme="1"/>
        <rFont val="Arial"/>
        <family val="2"/>
      </rPr>
      <t xml:space="preserve">8 </t>
    </r>
    <r>
      <rPr>
        <sz val="12"/>
        <color theme="1"/>
        <rFont val="Arial"/>
        <family val="2"/>
      </rPr>
      <t>Measured as inpatient days, not by number of inpatient admissions.</t>
    </r>
  </si>
  <si>
    <r>
      <rPr>
        <vertAlign val="superscript"/>
        <sz val="12"/>
        <color theme="1"/>
        <rFont val="Arial"/>
        <family val="2"/>
      </rPr>
      <t xml:space="preserve">9 </t>
    </r>
    <r>
      <rPr>
        <sz val="12"/>
        <color theme="1"/>
        <rFont val="Arial"/>
        <family val="2"/>
      </rPr>
      <t>Measured as visits.</t>
    </r>
  </si>
  <si>
    <r>
      <rPr>
        <vertAlign val="superscript"/>
        <sz val="12"/>
        <color theme="1"/>
        <rFont val="Arial"/>
        <family val="2"/>
      </rPr>
      <t>10</t>
    </r>
    <r>
      <rPr>
        <sz val="12"/>
        <color theme="1"/>
        <rFont val="Arial"/>
        <family val="2"/>
      </rPr>
      <t xml:space="preserve"> Laboratory and Radiology measured on a per-service basis.</t>
    </r>
  </si>
  <si>
    <r>
      <rPr>
        <vertAlign val="superscript"/>
        <sz val="12"/>
        <color theme="1"/>
        <rFont val="Arial"/>
        <family val="2"/>
      </rPr>
      <t xml:space="preserve">11 </t>
    </r>
    <r>
      <rPr>
        <sz val="12"/>
        <color theme="1"/>
        <rFont val="Arial"/>
        <family val="2"/>
      </rPr>
      <t>Per Prescrption.</t>
    </r>
  </si>
  <si>
    <r>
      <t>Hospital Inpatient</t>
    </r>
    <r>
      <rPr>
        <vertAlign val="superscript"/>
        <sz val="12"/>
        <color theme="1"/>
        <rFont val="Arial"/>
        <family val="2"/>
      </rPr>
      <t>12</t>
    </r>
    <r>
      <rPr>
        <sz val="12"/>
        <color theme="1"/>
        <rFont val="Arial"/>
        <family val="2"/>
      </rPr>
      <t xml:space="preserve"> </t>
    </r>
  </si>
  <si>
    <r>
      <t>Physician/Other Professional Services</t>
    </r>
    <r>
      <rPr>
        <vertAlign val="superscript"/>
        <sz val="12"/>
        <color theme="1"/>
        <rFont val="Arial"/>
        <family val="2"/>
      </rPr>
      <t>13</t>
    </r>
  </si>
  <si>
    <r>
      <t>Prescription Drug</t>
    </r>
    <r>
      <rPr>
        <vertAlign val="superscript"/>
        <sz val="12"/>
        <color theme="1"/>
        <rFont val="Arial"/>
        <family val="2"/>
      </rPr>
      <t>15</t>
    </r>
  </si>
  <si>
    <r>
      <rPr>
        <vertAlign val="superscript"/>
        <sz val="12"/>
        <color theme="1"/>
        <rFont val="Arial"/>
        <family val="2"/>
      </rPr>
      <t xml:space="preserve">12 </t>
    </r>
    <r>
      <rPr>
        <sz val="12"/>
        <color theme="1"/>
        <rFont val="Arial"/>
        <family val="2"/>
      </rPr>
      <t>Measured as inpatient days, not by number of inpatient admissions.</t>
    </r>
  </si>
  <si>
    <r>
      <rPr>
        <vertAlign val="superscript"/>
        <sz val="12"/>
        <color theme="1"/>
        <rFont val="Arial"/>
        <family val="2"/>
      </rPr>
      <t xml:space="preserve">13 </t>
    </r>
    <r>
      <rPr>
        <sz val="12"/>
        <color theme="1"/>
        <rFont val="Arial"/>
        <family val="2"/>
      </rPr>
      <t>Measured as visits.</t>
    </r>
  </si>
  <si>
    <r>
      <rPr>
        <vertAlign val="superscript"/>
        <sz val="12"/>
        <color theme="1"/>
        <rFont val="Arial"/>
        <family val="2"/>
      </rPr>
      <t>14</t>
    </r>
    <r>
      <rPr>
        <sz val="12"/>
        <color theme="1"/>
        <rFont val="Arial"/>
        <family val="2"/>
      </rPr>
      <t xml:space="preserve"> Laboratory and Radiology measured on a per-service basis.</t>
    </r>
  </si>
  <si>
    <t>Complete the CA Large Group Historical Data Spreadsheet to provide a comparison of</t>
  </si>
  <si>
    <t>the aggregate per enrollee per month costs and rate changes over the last five years for</t>
  </si>
  <si>
    <t>each of the following:</t>
  </si>
  <si>
    <t>(i)    Premiums</t>
  </si>
  <si>
    <t>(ii)   Claim Costs, if any</t>
  </si>
  <si>
    <t>(iii)  Administrative Expenses</t>
  </si>
  <si>
    <t>(iv)  Taxes &amp; Fees</t>
  </si>
  <si>
    <t>(v)   Quality Improvement Expenses.  Administrative Expenses include General and Administrative</t>
  </si>
  <si>
    <t>Fees, Agent and Broker Commissions</t>
  </si>
  <si>
    <t>Complete CA Large Group Historical Data Spreadsheet - Excel</t>
  </si>
  <si>
    <t>rate information, including both of the following:</t>
  </si>
  <si>
    <t>(i) Actual copays, coinsurance, deductibles, annual out of pocket maximums, and any other cost</t>
  </si>
  <si>
    <t xml:space="preserve">    sharing by the following categories: hospital inpatient, hospital outpatient, (including emergency room), </t>
  </si>
  <si>
    <t xml:space="preserve">    than hospital inpatient), radiology services (other than hospital inpatient), other (describe).</t>
  </si>
  <si>
    <t xml:space="preserve">   factor for each aggregate benefit category by the amount of projected medical costs attributable to that category</t>
  </si>
  <si>
    <t xml:space="preserve">  type of benefits and cost sharing levels.</t>
  </si>
  <si>
    <t>(ii)  Any aggregate changes in enrollee cost sharing over the prior years as measured by the weighted average actuarial value based</t>
  </si>
  <si>
    <r>
      <t xml:space="preserve">     on plan benefits using the company's plan relativity model, weighted by the number of enrollees.</t>
    </r>
    <r>
      <rPr>
        <vertAlign val="superscript"/>
        <sz val="12"/>
        <color theme="1"/>
        <rFont val="Arial"/>
        <family val="2"/>
      </rPr>
      <t>16</t>
    </r>
  </si>
  <si>
    <r>
      <rPr>
        <vertAlign val="superscript"/>
        <sz val="12"/>
        <color theme="1"/>
        <rFont val="Arial"/>
        <family val="2"/>
      </rPr>
      <t>16</t>
    </r>
    <r>
      <rPr>
        <sz val="12"/>
        <color theme="1"/>
        <rFont val="Arial"/>
        <family val="2"/>
      </rPr>
      <t xml:space="preserve"> Please determine weighted average actuarial value based on the company's own plan relativity model.</t>
    </r>
  </si>
  <si>
    <t xml:space="preserve">    For this purpose, the company is not required to use the CMS model.</t>
  </si>
  <si>
    <t>Describe any changes in benefits for enrollees/insureds over the prior year, providing a description of</t>
  </si>
  <si>
    <t>benefits added or eliminated, as well as any aggregate changes as measured as a percentage of the</t>
  </si>
  <si>
    <t xml:space="preserve">aggregate claims costs.  Provide this information for each of the following categories: hospital inpatient, </t>
  </si>
  <si>
    <t>hospital outpatient (including emergency room), physician and other professional services. Prescription</t>
  </si>
  <si>
    <t>drugs from pharmacies, laboratory services (other than hospital inpatient), radiology services (other than</t>
  </si>
  <si>
    <t>hospital inpatient), other (describe).</t>
  </si>
  <si>
    <t>Describe any cost containment and quality improvement efforts since prior year for the same category of health benefit plan.</t>
  </si>
  <si>
    <t>To the extent possible, describe any significant new health care cost containment and quality improvement efforts and provide</t>
  </si>
  <si>
    <t>1.01 Coordination and Cooperation</t>
  </si>
  <si>
    <t>1.02 Ensuring Networks Are Based on Value</t>
  </si>
  <si>
    <t>1.03 Demonstrating Action on High Cost Providers</t>
  </si>
  <si>
    <t>1.04 Demonstrating Action on High Cost Pharmaceuticals</t>
  </si>
  <si>
    <t>1.05 Quality Improvement Strategy</t>
  </si>
  <si>
    <t>1.06 Participation in Collaborative Quality Initiatives</t>
  </si>
  <si>
    <t>1.07 Data Exchange with Providers</t>
  </si>
  <si>
    <t>1.08 Data Aggregation across Health Plans</t>
  </si>
  <si>
    <t>https://board.coveredca.com/meetings/2016/4-07/2017%20QHP%20Issuer%20Contract_Attachment%207__Individual_4-6-2016_CLEAN.pdf</t>
  </si>
  <si>
    <t>In addition to Code referenced on Cover-Input Page, see California Health Benefit Exchange, April 7, 2016 Board Meeting materials:</t>
  </si>
  <si>
    <t xml:space="preserve">Describe for each segment the number of products covered by the information that incurred the excise tax paid by the health plan - </t>
  </si>
  <si>
    <t>applicable to year 2020 and later.</t>
  </si>
  <si>
    <t>Provide any additional comments on factors that affect rates and the weighted average rate changes included in this filing.</t>
  </si>
  <si>
    <t>at a plan pharmacy, network pharmacy or mail order pharmacy for outpatient use for each of the following:</t>
  </si>
  <si>
    <t>(i) Percentage of Premium Attributable to Prescription Drug Costs</t>
  </si>
  <si>
    <t>(ii) Year-Over-Year Increase, as Percentage, in Per Member Per Month, Total Health Plan Spending</t>
  </si>
  <si>
    <t>(iii) Year-Over-Year Increase in Per Member Per Month Costs for Drug Prices Compared to Other Components of Health Care Premium</t>
  </si>
  <si>
    <t>(iv) Specialty Tier Formulary List</t>
  </si>
  <si>
    <t>(v) Percent of Premium Attributable to Drugs Administered in a Doctor's Office, if available</t>
  </si>
  <si>
    <t>(vi) Health Plan/Insurer Use of a Prescription Drug (Pharmacy) Benefit Manager, if any</t>
  </si>
  <si>
    <t>17) Other Comments</t>
  </si>
  <si>
    <r>
      <rPr>
        <vertAlign val="superscript"/>
        <sz val="12"/>
        <color theme="1"/>
        <rFont val="Arial"/>
        <family val="2"/>
      </rPr>
      <t>4</t>
    </r>
    <r>
      <rPr>
        <sz val="12"/>
        <color theme="1"/>
        <rFont val="Arial"/>
        <family val="2"/>
      </rPr>
      <t xml:space="preserve"> Most commonly sold large group benefit design is determined at the product level.  The most common large</t>
    </r>
  </si>
  <si>
    <t xml:space="preserve">   (actual or a reasonable approximation when actual information is not available).  The average shall be weighted</t>
  </si>
  <si>
    <t xml:space="preserve">   rating area, and average age.</t>
  </si>
  <si>
    <t xml:space="preserve">  group benefit design, determined by number enrollees, should not include cost sharing, including, but not</t>
  </si>
  <si>
    <t xml:space="preserve">  limited to, deductibles, copays, and coinsurance.</t>
  </si>
  <si>
    <t>Please complete the following tables.  In completing these tables, please see definition of "Actuarial Value" in</t>
  </si>
  <si>
    <t>Place comments below:</t>
  </si>
  <si>
    <t>(Include (1) a description (such as product name or benefit/cost-sharing description, and product type) of the most commonly</t>
  </si>
  <si>
    <t>Comments: Describe differences between the products in each of the segment types listed in the above table, including which product types</t>
  </si>
  <si>
    <t>(PPO, EPO, HMO, POS, HDHP, Other) are 100% community rated, which are 100% experience rated, and which are blended.  Also include</t>
  </si>
  <si>
    <t>the distribution of covered lives among each product type and rating method.</t>
  </si>
  <si>
    <r>
      <rPr>
        <vertAlign val="superscript"/>
        <sz val="12"/>
        <color theme="1"/>
        <rFont val="Arial"/>
        <family val="2"/>
      </rPr>
      <t xml:space="preserve">15 </t>
    </r>
    <r>
      <rPr>
        <sz val="12"/>
        <color theme="1"/>
        <rFont val="Arial"/>
        <family val="2"/>
      </rPr>
      <t>Per Prescription.</t>
    </r>
  </si>
  <si>
    <t xml:space="preserve"> 2.</t>
  </si>
  <si>
    <t>Number of Enrollees/Covered Lives Unaffected by a Rate Change at Renewal</t>
  </si>
  <si>
    <t>1.</t>
  </si>
  <si>
    <t>2.</t>
  </si>
  <si>
    <t>3.</t>
  </si>
  <si>
    <t>4.</t>
  </si>
  <si>
    <t>Historical Data - Premium and Claims</t>
  </si>
  <si>
    <t>HMO/POS</t>
  </si>
  <si>
    <t>Historical Data</t>
  </si>
  <si>
    <t>Premium:</t>
  </si>
  <si>
    <t xml:space="preserve">Total premium </t>
  </si>
  <si>
    <t>Claims:</t>
  </si>
  <si>
    <t>Claims Incurred and Paid</t>
  </si>
  <si>
    <t>Direct claim reserves</t>
  </si>
  <si>
    <t>Experience rating refunds (rate credits) paid</t>
  </si>
  <si>
    <t>Reserve for experience rating refunds (rate credits)</t>
  </si>
  <si>
    <t>2.5</t>
  </si>
  <si>
    <t>Contingent benefit and lawsuit reserves</t>
  </si>
  <si>
    <t>2.6</t>
  </si>
  <si>
    <t xml:space="preserve">Total incurred claims </t>
  </si>
  <si>
    <t>Federal and State Taxes and Licensing or Regulatory Fees</t>
  </si>
  <si>
    <t xml:space="preserve">Federal taxes and assessments  </t>
  </si>
  <si>
    <t>3.1a Federal income taxes deductible from premium in MLR calculations</t>
  </si>
  <si>
    <t>3.1b Patient Centered Outcomes Research Institute (PCORI) Fee</t>
  </si>
  <si>
    <t>3.1c Affordable Care Act section 9010 Fee</t>
  </si>
  <si>
    <t>3.1d Federal Transitional Reinsurance Fee</t>
  </si>
  <si>
    <t>3.1e Other Federal Taxes and assessments deductible from premium</t>
  </si>
  <si>
    <t>State Premium Tax</t>
  </si>
  <si>
    <t>State Income Tax</t>
  </si>
  <si>
    <t>Regulatory authority licenses and fees</t>
  </si>
  <si>
    <t>Other Taxes and Fees</t>
  </si>
  <si>
    <t xml:space="preserve">Total Federal and State Taxes and fees </t>
  </si>
  <si>
    <t>Health Care Quality Improvement Expenses Incurred</t>
  </si>
  <si>
    <t>Improve health outcomes</t>
  </si>
  <si>
    <t>Activities to prevent hospital readmission</t>
  </si>
  <si>
    <t>Improve patient safety and reduce medical errors</t>
  </si>
  <si>
    <t>Wellness and health promotion activities</t>
  </si>
  <si>
    <t>Health information technology expenses related to improving health care quality</t>
  </si>
  <si>
    <t>Allowable Implementation ICD-10 expenses (not to exceed 0.3% of premium)</t>
  </si>
  <si>
    <t>Total Incurred Health Care Quality Improvement Expenses</t>
  </si>
  <si>
    <t>5.</t>
  </si>
  <si>
    <t xml:space="preserve">Non-Claims Costs </t>
  </si>
  <si>
    <t>Administrative Expenses</t>
  </si>
  <si>
    <t>Agents and brokers fees and commissions</t>
  </si>
  <si>
    <t>Other general and administrative expenses</t>
  </si>
  <si>
    <t>Total non-claims costs</t>
  </si>
  <si>
    <t>6.</t>
  </si>
  <si>
    <t xml:space="preserve">Other Indicators or information </t>
  </si>
  <si>
    <t>Number of covered lives</t>
  </si>
  <si>
    <t>Member months</t>
  </si>
  <si>
    <t>PPO/EPO</t>
  </si>
  <si>
    <t>Total Dollars</t>
  </si>
  <si>
    <t>Premiums</t>
  </si>
  <si>
    <t>Claims Costs</t>
  </si>
  <si>
    <t>Taxes and Fees</t>
  </si>
  <si>
    <t>Quality Improvement Expenses</t>
  </si>
  <si>
    <t>PMPM</t>
  </si>
  <si>
    <t>Average Change in Rating Components (%)</t>
  </si>
  <si>
    <t>N/A</t>
  </si>
  <si>
    <t>Report Name</t>
  </si>
  <si>
    <t>CA Large Group Historical Data Spreadsheet</t>
  </si>
  <si>
    <t>Describe any changes in enrollee cost sharing over the prior year associated with the submitted</t>
  </si>
  <si>
    <t>Employee, and Employee and Dependents, including a description of the Family Composition (i.e, Tier Ratios) used in each Premium Tier</t>
  </si>
  <si>
    <r>
      <t xml:space="preserve">Weighted Average Rate Change Unadjusted </t>
    </r>
    <r>
      <rPr>
        <vertAlign val="superscript"/>
        <sz val="12"/>
        <color theme="1"/>
        <rFont val="Arial"/>
        <family val="2"/>
      </rPr>
      <t>6</t>
    </r>
  </si>
  <si>
    <r>
      <rPr>
        <vertAlign val="superscript"/>
        <sz val="12"/>
        <color theme="1"/>
        <rFont val="Arial"/>
        <family val="2"/>
      </rPr>
      <t>1</t>
    </r>
    <r>
      <rPr>
        <sz val="12"/>
        <color theme="1"/>
        <rFont val="Arial"/>
        <family val="2"/>
      </rPr>
      <t xml:space="preserve"> Provide information for January 1 - December 31 of the reporting year:</t>
    </r>
  </si>
  <si>
    <t>Large Group Prescription Drug Cost Reporting Form</t>
  </si>
  <si>
    <t>Percent of Premium Attributable to Prescription Drug Costs</t>
  </si>
  <si>
    <t>(Subsection (c)(4)(A)(i))</t>
  </si>
  <si>
    <t>Includes Plan Pharmacy, Network Pharmacy, and Mail Order Pharmacy for Outpatient Use</t>
  </si>
  <si>
    <t>Covered Prescription Drug Categories</t>
  </si>
  <si>
    <t>Percent of Paid Premium
 Attributable to Prescriptions Drug Costs</t>
  </si>
  <si>
    <t>Total ( = 1+2+3)</t>
  </si>
  <si>
    <t>4. Pharmacy Manufacturer Rebate Amount (negative)</t>
  </si>
  <si>
    <t>Total Health Care Paid Premiums with pharmacy benefits carve-in (PMPM)</t>
  </si>
  <si>
    <t>Year-Over-Year Increase, as a Percentage, in Per Member Per Month, Total Health Plan Spending</t>
  </si>
  <si>
    <t>(Subsection (c)(4)(A)(ii))</t>
  </si>
  <si>
    <t>Year-Over-Year Increase (%) in Total Annual Plan Spending (i.e., Allowed Dollar Amount)</t>
  </si>
  <si>
    <t>Total  = (1+2+3)</t>
  </si>
  <si>
    <t>Pharmacy Manufacturer Rebate Amount (negative)</t>
  </si>
  <si>
    <t>Year-Over-Year Increase
 (%)</t>
  </si>
  <si>
    <t>Year-Over-Year Increase in Per Member Per Month Costs for Drug Prices Compared  to Other Components of Health Care Premium</t>
  </si>
  <si>
    <t>(Subsection (c)(4)(A)(iii))</t>
  </si>
  <si>
    <t xml:space="preserve">Year-Over-Year Increase (PMPM) </t>
  </si>
  <si>
    <t>1)  Paid Plan Cost - Prescription Drugs
(dispensed at pharmacy)</t>
  </si>
  <si>
    <t>2)  Paid Plan Cost - Prescription Drugs, if available
(administered in doctor's office)</t>
  </si>
  <si>
    <t>3)  Pharmacy Manufacturer Rebate (Negative)</t>
  </si>
  <si>
    <t>4)  Paid Plan Cost - Medical Benefits Excludes
Prescription Drugs above (1) &amp; (2)</t>
  </si>
  <si>
    <t xml:space="preserve">5)  Administration Cost Excluding Total Commission Expenses </t>
  </si>
  <si>
    <t>6)  Total Commission Expenses</t>
  </si>
  <si>
    <t>7)  Taxes and Fees</t>
  </si>
  <si>
    <t>8)  Profit</t>
  </si>
  <si>
    <t>9)  Other</t>
  </si>
  <si>
    <t xml:space="preserve">10) Total Health Care Premium with pharmacy benefits carve-in </t>
  </si>
  <si>
    <t>Total Member Months</t>
  </si>
  <si>
    <t xml:space="preserve">    Prescription Drugs Coverage</t>
  </si>
  <si>
    <t xml:space="preserve">    Medical Coverage (regardless of pharmacy benefits carve-in coverage)</t>
  </si>
  <si>
    <t>Specialty Tier Formulary List</t>
  </si>
  <si>
    <t>(Subsection (c)(4)(A)(iv))</t>
  </si>
  <si>
    <t>Prescription Drug Name</t>
  </si>
  <si>
    <t>Therapy Class</t>
  </si>
  <si>
    <t>Percent of Premium Attributable To Drugs Administered in a Doctor's Office</t>
  </si>
  <si>
    <t>(Subsection (c)(4)(B))</t>
  </si>
  <si>
    <t>Percent of Paid Premium</t>
  </si>
  <si>
    <t>(1)  Drug Benefits Covered as Part of Medical Benefits         Administered in Doctor's Office, if available</t>
  </si>
  <si>
    <t>(2) Total Medical/Pharmacy Benefits</t>
  </si>
  <si>
    <t>Health Plan/Insurer Uses of Prescription Drug Benefit Manager</t>
  </si>
  <si>
    <t>A. (i) Does the health plan utilize a pharmacy benefit manager (PBM) to prescription drug services to its enrollees?</t>
  </si>
  <si>
    <t xml:space="preserve">If yes, please provide responses to the remaining questions on this page. </t>
  </si>
  <si>
    <t xml:space="preserve">    (ii) Please provide the name(s) of the PBM(s) utilized by the health plan and select the functions delegated to the PBM(s).</t>
  </si>
  <si>
    <t>Name(s) of PBM(s)</t>
  </si>
  <si>
    <t>Functions Delegated to PBM(s)</t>
  </si>
  <si>
    <t>Utilization management</t>
  </si>
  <si>
    <t xml:space="preserve"> Claim processing</t>
  </si>
  <si>
    <t>Provider dispute resolutions</t>
  </si>
  <si>
    <t>Enrollee grievances</t>
  </si>
  <si>
    <t>No</t>
  </si>
  <si>
    <t xml:space="preserve">Yes </t>
  </si>
  <si>
    <t>For policies subject to CHSC 1385.045 or CIC 10181.45</t>
  </si>
  <si>
    <t>Term</t>
  </si>
  <si>
    <t>Definition</t>
  </si>
  <si>
    <t xml:space="preserve">Administrative Expenses/Costs </t>
  </si>
  <si>
    <t>Business expenses associated with general administration, agents/brokers fees and commissions, direct sales salaries, workforce salaries and benefits, loss adjustment expenses, cost containment expenses, and community benefit expenditures.</t>
  </si>
  <si>
    <t>Allowed Dollar Amount</t>
  </si>
  <si>
    <t>Total payments made under the policy to health care providers on behalf of covered members, including payments made by issuers and member cost sharing.</t>
  </si>
  <si>
    <t>Annual Plan Spending</t>
  </si>
  <si>
    <t>Biological Product</t>
  </si>
  <si>
    <t>Biosimilar Product</t>
  </si>
  <si>
    <t>Brand Name Drug</t>
  </si>
  <si>
    <t>Medications protected by patents that grant their makers exclusive marketing rights for several years. When patents expire, other manufacturers can sell generic copies at lower prices.</t>
  </si>
  <si>
    <t>Dispensed at Pharmacy</t>
  </si>
  <si>
    <t>Dispensed at a plan pharmacy, network pharmacy, or mail order pharmacy for outpatient use.</t>
  </si>
  <si>
    <t>Formulary</t>
  </si>
  <si>
    <t xml:space="preserve">List of drugs used to treat patients in a drug benefit plan. Products listed on a formulary are covered for reimbursement at varying levels. </t>
  </si>
  <si>
    <t>Generic Drug</t>
  </si>
  <si>
    <t>Interchangeable Product</t>
  </si>
  <si>
    <t>An interchangeable product is a biosimilar product that meets additional requirements outlined by the Biologics Price Competition and Innovation Act.</t>
  </si>
  <si>
    <t>Mail Order</t>
  </si>
  <si>
    <t>Licensed pharmacy established to dispense maintenance medications for chronic use in quantities greater than normally purchased at a retail pharmacy. The mail order pharmacy usually uses highly automated equipment so that non-pharmacists perform many routine tasks. As a result, mail order can typically dispense medication at a lower cost per prescription.</t>
  </si>
  <si>
    <t>National Drug Code (NDC)</t>
  </si>
  <si>
    <t xml:space="preserve">Numeric system to identify drug products in the United States. A drug’s NDC number is often expressed using a 3-segment-number where the first segment identifies the manufacturer, the second identifies the product and strength, and the last identifies the package size and type.
If the NDC on the package label is less than 11 digits, then add a leading zero to the appropriate segment to create a 5-4-2 segment number. Example.
Label Configuration  Add leading zero, Remove hyphens
4-4-2 (xxxx-xxxx-xx)   0xxxxxxxxxx (5-4-2)
5-3-2 (xxxxx-xxx-xx)   xxxxx0xxxxx (5-4-2)
5-4-1 (xxxxx-xxxx-x)   xxxxxxxxx0x (5-4-2)
</t>
  </si>
  <si>
    <t>Number of Prescriptions (# of Prescriptions)</t>
  </si>
  <si>
    <t>30-day supply is treated as a unit.  The range is as follows:
    - Between 1- to 30-day supply is 1 unit
    - Between 31- to 60-day supply is 2 units  
    - More than 60-day supply will be 3 units.</t>
  </si>
  <si>
    <t>Paid Plan Claim (Paid Plan Cost)</t>
  </si>
  <si>
    <t>Allowed Dollar Amount minus the member cost-sharing amount = Incurred Costs.  (If this Term is related to drug cost only, excludes Manufacturer Rebate).</t>
  </si>
  <si>
    <t>Paid Dollar Amount</t>
  </si>
  <si>
    <t>Pharmacy Benefits Carve-In</t>
  </si>
  <si>
    <t>Management of the drug benefit is included with the management of the medical benefit, using a single entity and contract to administer both benefits. 
Carve-Out: Management of the drug benefit is separate from the management of the medical benefit, using two different entities or two separate contracts to administer the benefits.</t>
  </si>
  <si>
    <t>Pharmacy Benefit Manager (PBM)</t>
  </si>
  <si>
    <t>Organization dedicated to administering prescription benefit management services to employers, health plans, third-party administrators, union groups, and other plan sponsors. A full-service PBM maintains eligibility, adjudicates prescription claims, provides clinical services and customer support, contracts and manages pharmacy networks, and provides management reports.</t>
  </si>
  <si>
    <t>Prescription Drug</t>
  </si>
  <si>
    <t>“Prescription drug” or “drug” means a self-administered drug approved by the FDA for sale to the public through retail or mail order pharmacies that requires a prescription and is not provided for use on an inpatient basis or administered in a clinical setting or by a licensed health care provider. The term includes: (i) disposable devices that are medically necessary for the administration of a covered prescription drug, such as spacers and inhalers for the administration of aerosol outpatient prescription drugs; (ii) syringes for self-injectable prescription drugs that are not dispensed in pre-filled syringes; (iii) drugs, devices, and FDA-approved products covered under the prescription drug benefit of the product pursuant to sections 1367.002 and 1367.25 of the Health and Safety Code, including any such over-the-counter drugs, devices, and FDA-approved products; and (iv) at the option of the health care service plan, any vaccines or other health benefits covered under the prescription drug benefit of the product.</t>
  </si>
  <si>
    <t>Reference Product</t>
  </si>
  <si>
    <t xml:space="preserve">Retail </t>
  </si>
  <si>
    <t>Specialty Drug</t>
  </si>
  <si>
    <t xml:space="preserve">A drug with a plan- or insurer-negotiated monthly cost prior to rebate that exceeds the threshold for a specialty drug under the Medicare Part D program (Medicare Prescription Drug, Improvement, and Modernization Act of 2003 (Public Law 108-173)). For example, in 2019, the threshold amount is $670 for a one-month supply: Drug A costs $40 per day provided for two-day supply (Between 1- to 30-day supply is 1 unit) while Drug B costs $80 per day with a 60-day supply (Between 31- to 60-day supply is 2 units); therefore, Drug A (= ($40*2)/1 = $80 &lt; $670) is not treated as Specialty Drug while Drug B (= ($80*60)/2 = $2400 &gt; $670) is treated as Specialty Drug. 
</t>
  </si>
  <si>
    <t>Rx Report Glossary</t>
  </si>
  <si>
    <t>CA Large Group Historical Data Spreadsheet (Fully Insured)</t>
  </si>
  <si>
    <t>For Policies subject to CIC 10181.45 or CHSC 1374.21</t>
  </si>
  <si>
    <t>(Subsection (c)(4)(C)(i) &amp; (c)(4)(C)(ii))</t>
  </si>
  <si>
    <t>H&amp;S Code 1385.045(c)(3)(C) &amp; CIC 10181.45(c)(3)(C) - 5 years of Historical Data for Large Group HMO Products</t>
  </si>
  <si>
    <t>H&amp;S Code 1385.045(c)(3)(C) &amp; CIC 10181.45(c)(3)(C) - 5 years of Historical Data for Large Group PPO Products</t>
  </si>
  <si>
    <t>H&amp;S Code 1385.045(c)(3)(C) &amp; CIC 10181.45(c)(3)(C) - 5 years of Historical Data for Large Group HMO and PPO Products Combined</t>
  </si>
  <si>
    <t>H&amp;S Code 1385.045(c)(2) &amp; CIC 10181.45(c)(2) -            8) Factors Affecting Base Rate</t>
  </si>
  <si>
    <t>H&amp;S Code 1385.045(c)(3)(A) &amp; CIC 10181.45(c)(3)(A) -  9) Current Year Medical &amp; Prescription Drug Trend Factors</t>
  </si>
  <si>
    <t>H&amp;S Code 1385.045(c)(3)(B) &amp; CIC 10181.45(c)(3)(B) - 10) Projection Year Medical &amp; Prescription Drug Trend Factors</t>
  </si>
  <si>
    <t>H&amp;S Code 1385.045(c)(3)(C) &amp; CIC 10181.45(c)(3)(C) - 11) CA LG Historical Data Spreadsheet</t>
  </si>
  <si>
    <t>H&amp;S Code 1385.045(c)(3)(E) &amp; CIC 10181.45(c)(3)(E) - 13) Changes in Enrollee/Insured Benefits</t>
  </si>
  <si>
    <t>H&amp;S Code 1385.045(c)(3)(F) &amp; CIC 10181.45(c)(3)(F) - 14) Cost Containment and Quality Improvement Efforts</t>
  </si>
  <si>
    <t>H&amp;S Code 1385.045(c)(3)(G) &amp; CIC 10181.45(c)(3)(G) - 15) Excise Tax Incurred by the Health Plan</t>
  </si>
  <si>
    <t>Company Name (Health Plan)</t>
  </si>
  <si>
    <t xml:space="preserve">1. Generic Drugs
    </t>
  </si>
  <si>
    <t xml:space="preserve">2. Brand Name Drugs
   </t>
  </si>
  <si>
    <t xml:space="preserve">3. Specialty Drugs
</t>
  </si>
  <si>
    <t>Large Group Aggregate Rate Data Report (LGARD), Large Group Historical Data Spreadsheet (LGHistData), and Large Group Prescription Drug Cost Data Report (LGPDCD)</t>
  </si>
  <si>
    <t>LGARD-#3-#6-RateChanges</t>
  </si>
  <si>
    <t>LGARD-#7-ProductsSold</t>
  </si>
  <si>
    <t>LGARD-#8-BaseRateFactors</t>
  </si>
  <si>
    <t>LGARD-#9-#10-TrendFactors</t>
  </si>
  <si>
    <t>LGARD-#11-HistData</t>
  </si>
  <si>
    <t>LGARD-#13-EEBenefits</t>
  </si>
  <si>
    <t>LGARD-#14-CCQIEfforts</t>
  </si>
  <si>
    <t>LGARD-#15-ExciseTaxes</t>
  </si>
  <si>
    <t>LGARD-#16-LGRxReport</t>
  </si>
  <si>
    <t>LGARD-#17-OtherComments</t>
  </si>
  <si>
    <t>LGHistData-HMO</t>
  </si>
  <si>
    <t>LGHistData-PPO</t>
  </si>
  <si>
    <t>LGHistData-Summary</t>
  </si>
  <si>
    <t>LGPDCD-PharmPctPrem</t>
  </si>
  <si>
    <t>LGPDCD-YoYTotalPlanSpnd</t>
  </si>
  <si>
    <t>LGPDCD-YoYCompofPrem</t>
  </si>
  <si>
    <t>LGPDCD-SpecTierForm</t>
  </si>
  <si>
    <t>LGPDCD-PharmDocOff</t>
  </si>
  <si>
    <t>LGPDCD-PharmBenMgr</t>
  </si>
  <si>
    <t>H&amp;S Code 1385.045(a) &amp; CIC 10181.45(a) -                    3) Weighted Average Rate Change, and Number of Employees Subject to the Rate Change</t>
  </si>
  <si>
    <t>Benefit Categories</t>
  </si>
  <si>
    <t xml:space="preserve">   by the number of enrollees/covered lives.</t>
  </si>
  <si>
    <t>sold design, and (2) methodology used to determine any reasonable approximations used).</t>
  </si>
  <si>
    <t>Radiology (Other than Inpatient)</t>
  </si>
  <si>
    <r>
      <t>Radiology (Other than Inpatient)</t>
    </r>
    <r>
      <rPr>
        <vertAlign val="superscript"/>
        <sz val="12"/>
        <color theme="1"/>
        <rFont val="Arial"/>
        <family val="2"/>
      </rPr>
      <t>14</t>
    </r>
  </si>
  <si>
    <t>LGPDCD-RxGlossary</t>
  </si>
  <si>
    <t>Complete the Large Group Drug Cost Reporting Form to provide the information on covered prescription drugs dispensed</t>
  </si>
  <si>
    <t>Complete Large Group Prescription Drug Cost Reporting Form</t>
  </si>
  <si>
    <t>The Large Group Historical Data Report consists of the following tabs:</t>
  </si>
  <si>
    <t>The Large Group Prescription Drug Cost Reporting Form consists of the following tabs:</t>
  </si>
  <si>
    <t xml:space="preserve">       10)  Projected Medical Services Trend</t>
  </si>
  <si>
    <t>Overall Medical Services</t>
  </si>
  <si>
    <t>Overall Medical Services + Prescription Drug</t>
  </si>
  <si>
    <t>Experience Medical Services Allowed Trend by Trend Category</t>
  </si>
  <si>
    <t>Projected Medical Services Allowed Trend by Trend Category</t>
  </si>
  <si>
    <r>
      <t xml:space="preserve">         9)  Overall</t>
    </r>
    <r>
      <rPr>
        <b/>
        <i/>
        <vertAlign val="superscript"/>
        <sz val="12"/>
        <color theme="1"/>
        <rFont val="Arial"/>
        <family val="2"/>
      </rPr>
      <t>7</t>
    </r>
    <r>
      <rPr>
        <b/>
        <i/>
        <sz val="12"/>
        <color theme="1"/>
        <rFont val="Arial"/>
        <family val="2"/>
      </rPr>
      <t>Experience Medical Services Trend</t>
    </r>
  </si>
  <si>
    <t>A biological product that is highly similar to and has no clinically meaningful differences from an existing FDA-approved reference product. Treat this as Generic, unless the plan- or insurer-negotiated monthly cost exceeds the threshold for a Specialty Drug.</t>
  </si>
  <si>
    <t>A medication created to be the same as an already marketed brand name drug in dosage, form, safety, strength, route of administration, quality, performance characteristics, and intended use. These similarities help to demonstrate bioequivalence, which means that a generic medicine works in the same way and provides the same clinical benefit as its brand name version. In other words, you can take a generic medicine as an equal substitute for its brand name counterpart.</t>
  </si>
  <si>
    <t>A single biological product, already approved by FDA, against which a proposed biosimilar product is compared. A reference product is approved based on, among other things, a full complement of safety and effectiveness data. Treat this as Brand Name or Brand Name Specialty.</t>
  </si>
  <si>
    <t>Medications which are purchased at a retail pharmacy.</t>
  </si>
  <si>
    <t>A product regulated by the Food and Drug Administration (FDA) and used to diagnose, prevent, treat, and cure diseases and medical conditions. They are a diverse category of products and are generally large, complex molecules. These products may be produced through biotechnology in a living system.</t>
  </si>
  <si>
    <t>Actuarial Basis</t>
  </si>
  <si>
    <t>The methodology used to determine the rating factors and the purpose of the factors</t>
  </si>
  <si>
    <t>Actuarial Value</t>
  </si>
  <si>
    <t>Any factors affecting the base rate, and the actuarial bases for those factors</t>
  </si>
  <si>
    <t>Custom Plan</t>
  </si>
  <si>
    <t>Excise Tax</t>
  </si>
  <si>
    <t>Large Group</t>
  </si>
  <si>
    <t>Number of Enrollees/Covered Lives</t>
  </si>
  <si>
    <t>Percent of Total Rate Changes</t>
  </si>
  <si>
    <t>Product Type</t>
  </si>
  <si>
    <t>Projected Trend</t>
  </si>
  <si>
    <t>Segment Type</t>
  </si>
  <si>
    <t>Standard Plan</t>
  </si>
  <si>
    <t xml:space="preserve">The calendar year (i.e., the current year) that a health plan or health insurer files the California Large Group Annual Aggregate Rate Data Report </t>
  </si>
  <si>
    <t>Category of rate determination method (i.e., community/manual rates, in whole or in part).  For the purpose of this section, segment types are 100% community/manual rated (in whole), blended (in part), and 100% experience rated (none).</t>
  </si>
  <si>
    <t>The number of employees, including covered dependents enrolled (i.e., members or covered lives), affected by rate changes during the 12-month reporting period; reasonable approximations are allowed when actual information is not available.</t>
  </si>
  <si>
    <t>Puts a 40 percent tax on the most expensive health insurance plans whose costs exceed certain thresholds</t>
  </si>
  <si>
    <t>The opposite of "standard plan" as referenced in item 7, this is a large group plan in which the purchaser has the opportunity to select an array of benefits, contractual provisions, and cost sharing.</t>
  </si>
  <si>
    <t xml:space="preserve">       18) Additional Information</t>
  </si>
  <si>
    <t>LGARD-#18-AdditionalInfo</t>
  </si>
  <si>
    <t>18) Additional Information</t>
  </si>
  <si>
    <t>the tab, LGARD-#18-AdditionalInfo, which can be referenced via the link below:</t>
  </si>
  <si>
    <t xml:space="preserve">A large group plan (and not an individual or small group plan), as referenced in item 7, sold by the health plan to the purchaser with little or no opportunity for customization regarding benefits, contractual provisions, or cost-sharing.  </t>
  </si>
  <si>
    <t>The following glossary lists out some additional information related to terms contained in the Large Group Aggregate Data Report Form:</t>
  </si>
  <si>
    <t>Refers to Health Maintenance Organization (HMO), Preferred Provider Organization (PPO), Point of Service (POS), Exclusive Provider Organization (EPO), and High Deductible Health Plan (HDHP)…...  "Product" references a discrete package of health insurance covered services that a health insurance issuer offers using a particular network type within a service area.  "Plan", on the other hand, with respect to an issuer and a product, means the pairing of the health insurance coverage benefits under the product with a particular cost-sharing structure, provider network, and service area.</t>
  </si>
  <si>
    <t>Measurement of the distribution of the number of rate changes for a given category (e.g., effective month) in items 4-6 of this report.</t>
  </si>
  <si>
    <t>***Please Note: Fields shaded in blue (all LGARD tabs) will update automatically, so there is no need to interact with these cells.</t>
  </si>
  <si>
    <t>Total payments made under the policy to health care providers on behalf of covered members including payments made by issuers and member cost sharing = Allowed Dollar Amount.</t>
  </si>
  <si>
    <t>H&amp;S Code 1385.045(c)(1)(C) &amp; CIC 10181.45(c)(1)(C) - 6) Rate Changes by Product Type</t>
  </si>
  <si>
    <t>Hospital Outpatient (Including ER)</t>
  </si>
  <si>
    <t>Please provide an explanation if any of the categories under 9) are zero or have no value.</t>
  </si>
  <si>
    <t>Please provide an explanation if any of the categories under 10) are zero or have no value.</t>
  </si>
  <si>
    <r>
      <t xml:space="preserve">    physician and other </t>
    </r>
    <r>
      <rPr>
        <b/>
        <sz val="12"/>
        <color theme="1"/>
        <rFont val="Arial"/>
        <family val="2"/>
      </rPr>
      <t>professional</t>
    </r>
    <r>
      <rPr>
        <sz val="12"/>
        <color theme="1"/>
        <rFont val="Arial"/>
        <family val="2"/>
      </rPr>
      <t xml:space="preserve"> services, prescription drugs from pharmacies, laboratory services (other</t>
    </r>
  </si>
  <si>
    <t>California 2017 Individual Market QHP Issuer Contract."</t>
  </si>
  <si>
    <t>to structure their response with reference to the cost containment and quality improvement components of "Attachment 7 to Covered</t>
  </si>
  <si>
    <t>Pricing trend for the calendar year CY+1 over calendar year CY and for calendar year CY over calendar year CY - 1 used in pricing health coverage premium effective during the reporting period, where CY refers to the Current (or Reporting) Year.</t>
  </si>
  <si>
    <t>Glossary of terms used in Large Group Prescription Drug Reporting Form</t>
  </si>
  <si>
    <t>H&amp;S Code 1385.045(c)(1)(E) &amp; CIC 10181.45(c)(1)(E) - 7) Products Sold with Materially Different Benefits, Cost Share</t>
  </si>
  <si>
    <t>H&amp;S Code 1385.045(c)(4)(A), 1385.045(c)(4)(B), 1385.045(c)(4)(C) &amp; CIC 10181.045(c)(4)(A), 10181.045(c)(4)(B), 10181.045(c)(4)(C) - 16) Large Group Prescription Drug Report</t>
  </si>
  <si>
    <t>H&amp;S Code 1385.045(c)(4)(A)(i) &amp; CIC 10181.45(4)(A)(i) - Percent of Premium Attributable to Prescription Drug Costs</t>
  </si>
  <si>
    <t>H&amp;S Code 1385.045(c)(4)(A)(ii) &amp; CIC 10181.45(4)(A)(ii) - Year-Over-Year Increase, as a Percentage, in Per Member Per Month, Total Health Plan Spending</t>
  </si>
  <si>
    <t>H&amp;S Code 1385.045(c)(4)(A)(iii) &amp; CIC 10181.45(4)(A)(iii) - Year-Over-Year Increase in Per Member Per Month Costs &amp; Drug Prices Compared  to Other Components of Health Care Premium</t>
  </si>
  <si>
    <t>H&amp;S Code 1385.045(c)(4)(A)(iv) &amp; CIC 10181.45(4)(A)(iv) - Specialty Tier Formulary List</t>
  </si>
  <si>
    <t>H&amp;S Code 1385.045(c)(4)(B) &amp; CIC 10181.45(4)(B) - Percent of Premium Attributable To Drugs Administered in a Doctor's Office</t>
  </si>
  <si>
    <t>H&amp;S Code 1385.045(c)(4)(C)(i), 1385.045(c)(4)(C)(ii) &amp; CIC 10181.45(4)(C)(i), CIC 10181.45(4)(C)(ii)   - Health Plan/Insurer Uses of Prescription Drug Benefit Manager</t>
  </si>
  <si>
    <t>Which Market Segment, if any, is Fully Experience Rated, and which Market Segment, if any, is In Part Experience Rated and In Part Community Rated</t>
  </si>
  <si>
    <t>Factors provided by the health plan or insurers, such as those factors listed from Health &amp; Safety Code Section 1385.045(c)(2) A-K and California Insurance Code Section 10181.45(c)(2) A-K , affecting the base rate and briefly describing the actuarial basis (i.e., geographic region, age, occupation, industry, health status, employee and employee dependents, enrollee, and segment type (partial or full community rates vs. experience rates)).</t>
  </si>
  <si>
    <t>Commercial full-service health care service plans as defined in Health &amp; Safety Code section 1385.01, subdivision (a) and as defined in California Insurance Code 10181, subdivision (a).  For the purpose of report requirements contained in this workbook, large group plans shall include fully insured commercial products and In Home Support Services (IHSS) products.</t>
  </si>
  <si>
    <r>
      <t xml:space="preserve">As reported in Item 7 on the Large Group Annual Aggregate Data Report Form, this calculation should utilize the covered benefits described in the February 20, 2013 Methodology for the Minimum Value (MV) Calculator.  Please note that this reference to the MV Calculator methodology is only for the purpose of describing the set of covered benefits to be used in the calculation of this value; this is </t>
    </r>
    <r>
      <rPr>
        <u/>
        <sz val="12"/>
        <color theme="1"/>
        <rFont val="Arial"/>
        <family val="2"/>
      </rPr>
      <t>not</t>
    </r>
    <r>
      <rPr>
        <sz val="12"/>
        <color theme="1"/>
        <rFont val="Arial"/>
        <family val="2"/>
      </rPr>
      <t xml:space="preserve"> an instruction to use the MV Calculator to perform the calculation.......  The benefits are 1) Emergency Room Services, 2) All Inpatient Hospital Services (including mental health &amp; substance use disorder services), 3) Primary Care Visit to treat an injury or illness (excluding preventive well baby, preventive, and X-rays), 4) Specialist Visit, 5) Mental/Behavioral Health and Substance Abuse Disorder Outpatient Services, 6) Imaging (CT/PET scans, MRI), 7) Rehabilitative Speech Therapy, 8) Rehabilitative Occupational and Rehabilitative Physical Therapy, 9) Preventive Care/Screening/Immunization, 10) Laboratory Outpatient and Professional Services, 11) X-rays and Diagnostic Imaging, 12) Skilled Nursing Facility, 13) Outpatient Facility Fee (e.g., Ambulatory Surgery Center), 14) Outpatient Surgery Physician/Surgical Services, 15) Drug Categories: Generics, Preferred Brand, Non-Preferred, and Specialty drugs</t>
    </r>
  </si>
  <si>
    <t>Large Group Aggregate Rate Data Report</t>
  </si>
  <si>
    <t>Other (Describe in Comment Box Below)</t>
  </si>
  <si>
    <t>an estimate of potential savings together with an estimated cost or savings for the projection period.  Companies are encouraged</t>
  </si>
  <si>
    <t>The Large Group Aggregate Data Report Consists of the following tabs:</t>
  </si>
  <si>
    <t>Average AV in AV Range</t>
  </si>
  <si>
    <t>Grand Total</t>
  </si>
  <si>
    <t>H&amp;S Code 1385.045(c)(3)(D) &amp; CIC 10181.45(c)(3)(D) - 12a) Changes in Enrollee Cost Sharing</t>
  </si>
  <si>
    <t>H&amp;S Code 1385.045(c)(3)(D) &amp; CIC 10181.45(c)(3)(D) - 12b) Cost Sharing Details</t>
  </si>
  <si>
    <t xml:space="preserve">       12a)  Changes in Enrollee Cost Sharing</t>
  </si>
  <si>
    <t>Individual Deductibles (Medical +Rx Combined) between zero and High</t>
  </si>
  <si>
    <t>$1  -  $499</t>
  </si>
  <si>
    <t>$500  -  $999</t>
  </si>
  <si>
    <t>$1,000  -  $1,999</t>
  </si>
  <si>
    <t>$2,000  -  $2,999</t>
  </si>
  <si>
    <t>$3,000  -  $3,999</t>
  </si>
  <si>
    <t>$4,000+</t>
  </si>
  <si>
    <t xml:space="preserve">Number of Enrollees/Covered Lives </t>
  </si>
  <si>
    <t>Product Types</t>
  </si>
  <si>
    <t>OTHER</t>
  </si>
  <si>
    <t>Family Deductibles (Medical +Rx Combined) between zero and High</t>
  </si>
  <si>
    <t>$1  -  $999</t>
  </si>
  <si>
    <t>$1000  -  $1,999</t>
  </si>
  <si>
    <t>$3000  -  $3,999</t>
  </si>
  <si>
    <t>$4,000  -  $5,999</t>
  </si>
  <si>
    <t>$6,000+</t>
  </si>
  <si>
    <t>Coinsurance Percentage (Hospital Inpatient)</t>
  </si>
  <si>
    <t>1%-10%</t>
  </si>
  <si>
    <t>11%-20%</t>
  </si>
  <si>
    <t>21%-30%</t>
  </si>
  <si>
    <t>Copayment for Primary Doctor Visits</t>
  </si>
  <si>
    <t>$1 to $10</t>
  </si>
  <si>
    <t>$11 to $20</t>
  </si>
  <si>
    <t>$21 to $30</t>
  </si>
  <si>
    <t>$31 to $40</t>
  </si>
  <si>
    <t>Copayment for Specialist Visits</t>
  </si>
  <si>
    <t>$1 to $15</t>
  </si>
  <si>
    <t>$16 to $30</t>
  </si>
  <si>
    <t>$31 to $45</t>
  </si>
  <si>
    <t>$45 to $60</t>
  </si>
  <si>
    <t>Average Cost Sharing for Brand Name Drugs</t>
  </si>
  <si>
    <t>$0 to $15</t>
  </si>
  <si>
    <t>$46 to $60</t>
  </si>
  <si>
    <t>$61  to $75</t>
  </si>
  <si>
    <t>Individual Out Of Pocket Maximum (Medical + Rx Combined In-network Only)</t>
  </si>
  <si>
    <t>$0 to $1,999</t>
  </si>
  <si>
    <t>$2,000 to $2,999</t>
  </si>
  <si>
    <t>$3,000 to $3,999</t>
  </si>
  <si>
    <t>$4,000 to $4,999</t>
  </si>
  <si>
    <t>$5,000 to $5,999</t>
  </si>
  <si>
    <t>Family Out Of Pocket Maximum (Medical  + Rx Combined In-network Only)</t>
  </si>
  <si>
    <t>$0 to $3,999</t>
  </si>
  <si>
    <t>$4,000 to $5,999</t>
  </si>
  <si>
    <t>$6,000 to $9,999</t>
  </si>
  <si>
    <t>$10,000 to $14,999</t>
  </si>
  <si>
    <t>$15,000+</t>
  </si>
  <si>
    <t xml:space="preserve">       12b)  Detailed Enrollee Cost Sharing Tables</t>
  </si>
  <si>
    <t>LGARD-#12a-EECostSharing</t>
  </si>
  <si>
    <t>LGARD-#12b-EECostSharing</t>
  </si>
  <si>
    <t>Coinsurance Percentage (Specialty Drugs)</t>
  </si>
  <si>
    <t>&gt;30%</t>
  </si>
  <si>
    <t>&gt;$40</t>
  </si>
  <si>
    <t>&gt;$60</t>
  </si>
  <si>
    <t>&gt;$75</t>
  </si>
  <si>
    <t>Wellfleet Insurance Company</t>
  </si>
  <si>
    <t>Brad Ober</t>
  </si>
  <si>
    <t>bober@wellfleetinsurance.com</t>
  </si>
  <si>
    <t>(800) 633-7867 x151</t>
  </si>
  <si>
    <t>Initial</t>
  </si>
  <si>
    <t>ABECMA</t>
  </si>
  <si>
    <t>GENE THERAPY</t>
  </si>
  <si>
    <t>ABILIFY ASIMTUFII</t>
  </si>
  <si>
    <t>ATYPICAL ANTIPSYCHOTICS</t>
  </si>
  <si>
    <t>ABILIFY MAINTENA</t>
  </si>
  <si>
    <t>ABILIFY MYCITE</t>
  </si>
  <si>
    <t>ABIRATERONE ACETATE</t>
  </si>
  <si>
    <t>ANTINEOPLASTIC AGENTS</t>
  </si>
  <si>
    <t>ABRAVO</t>
  </si>
  <si>
    <t>DEVICES</t>
  </si>
  <si>
    <t>ABRAXANE</t>
  </si>
  <si>
    <t>ABRILADA(CF)</t>
  </si>
  <si>
    <t>TUMOR NECROSIS FACTOR INHIBITORS, MISC</t>
  </si>
  <si>
    <t>ABRILADA(CF) PEN</t>
  </si>
  <si>
    <t>ACTEMRA</t>
  </si>
  <si>
    <t>INTERLEUKIN-MEDIATED AGENTS, MISC</t>
  </si>
  <si>
    <t>ACTEMRA ACTPEN</t>
  </si>
  <si>
    <t>ACTHAR</t>
  </si>
  <si>
    <t>ADRENOCORTICAL INSUFFICIENCY</t>
  </si>
  <si>
    <t>ACTHAR SELFJECT</t>
  </si>
  <si>
    <t>ACTIMMUNE</t>
  </si>
  <si>
    <t>IMMUNOMODULATORY AGENTS</t>
  </si>
  <si>
    <t>ACYCLOVIR</t>
  </si>
  <si>
    <t>ANTIVIRALS (SKIN AND MUCOUS MEMBRANE)</t>
  </si>
  <si>
    <t>ADAKVEO</t>
  </si>
  <si>
    <t>BLOOD FORM.,COAG,THROMBOSIS AGENTS MISC.</t>
  </si>
  <si>
    <t>ADALIMUMAB-AACF(CF)</t>
  </si>
  <si>
    <t>ADALIMUMAB-AACF(CF) PEN</t>
  </si>
  <si>
    <t>ADALIMUMAB-AACF(CF) PEN CROHNS</t>
  </si>
  <si>
    <t>ADALIMUMAB-AACF(CF) PEN PS-UV</t>
  </si>
  <si>
    <t>ADALIMUMAB-AATY(CF)</t>
  </si>
  <si>
    <t>ADALIMUMAB-AATY(CF) AUTOINJ(2)</t>
  </si>
  <si>
    <t>ADALIMUMAB-AATY(CF) AUTOINJECT</t>
  </si>
  <si>
    <t>ADALIMUMAB-ADAZ(CF)</t>
  </si>
  <si>
    <t>ADALIMUMAB-ADAZ(CF) PEN</t>
  </si>
  <si>
    <t>ADALIMUMAB-ADBM(CF)</t>
  </si>
  <si>
    <t>ADALIMUMAB-ADBM(CF) PEN</t>
  </si>
  <si>
    <t>ADALIMUMAB-ADBM(CF) PEN CROHNS</t>
  </si>
  <si>
    <t>ADALIMUMAB-ADBM(CF) PEN PS-UV</t>
  </si>
  <si>
    <t>ADALIMUMAB-ADBM(CF)PEN</t>
  </si>
  <si>
    <t>ADALIMUMAB-FKJP(CF)</t>
  </si>
  <si>
    <t>ADALIMUMAB-FKJP(CF) PEN</t>
  </si>
  <si>
    <t>ADALIMUMAB-RYVK(CF)</t>
  </si>
  <si>
    <t>ADALIMUMAB-RYVK(CF) AUTOINJECT</t>
  </si>
  <si>
    <t>ADASUVE</t>
  </si>
  <si>
    <t>DIBENZOXAPINES</t>
  </si>
  <si>
    <t>ADBRY</t>
  </si>
  <si>
    <t>IMMUNOMODULATORY AGENTS (84:06)</t>
  </si>
  <si>
    <t>ADCETRIS</t>
  </si>
  <si>
    <t>ADCIRCA</t>
  </si>
  <si>
    <t>PHOSPHODIESTERASE-5 INHIBITORS (RESPIR)</t>
  </si>
  <si>
    <t>ADEFOVIR DIPIVOXIL</t>
  </si>
  <si>
    <t>NUCLEOSIDE AND NUCLEOTIDE ANTIVIRALS</t>
  </si>
  <si>
    <t>ADEMPAS</t>
  </si>
  <si>
    <t>VASODILATING AGENTS (RESPIRATORY TRACT)</t>
  </si>
  <si>
    <t>ADRIAMYCIN</t>
  </si>
  <si>
    <t>ADSTILADRIN</t>
  </si>
  <si>
    <t>ADUHELM</t>
  </si>
  <si>
    <t>MONOCLONAL ANTIBODIES (90:10)</t>
  </si>
  <si>
    <t>ADULT GLYCERIN</t>
  </si>
  <si>
    <t>CATHARTICS AND LAXATIVES</t>
  </si>
  <si>
    <t>ADVATE</t>
  </si>
  <si>
    <t>HEMOSTATICS</t>
  </si>
  <si>
    <t>ADYNOVATE</t>
  </si>
  <si>
    <t>ADZYNMA</t>
  </si>
  <si>
    <t>ENZYMES</t>
  </si>
  <si>
    <t>AFINITOR</t>
  </si>
  <si>
    <t>AFINITOR DISPERZ</t>
  </si>
  <si>
    <t>AFSTYLA</t>
  </si>
  <si>
    <t>AGGRASTAT</t>
  </si>
  <si>
    <t>PLATELET-AGGREGATION INHIBITORS</t>
  </si>
  <si>
    <t>AIRS ADULT AEROSOL MASK</t>
  </si>
  <si>
    <t>AKEEGA</t>
  </si>
  <si>
    <t>ALCOHOL PREP PADS</t>
  </si>
  <si>
    <t>LOCAL ANTI-INFECTIVES, MISCELLANEOUS</t>
  </si>
  <si>
    <t>ALDURAZYME</t>
  </si>
  <si>
    <t>ALECENSA</t>
  </si>
  <si>
    <t>ALFERON N</t>
  </si>
  <si>
    <t>INTERFERON ANTIVIRALS</t>
  </si>
  <si>
    <t>ALIMTA</t>
  </si>
  <si>
    <t>ALIQOPA</t>
  </si>
  <si>
    <t>ALKA-SELTZER PLUS DAY-NIGHT</t>
  </si>
  <si>
    <t>ANTITUSSIVES</t>
  </si>
  <si>
    <t>ALKERAN</t>
  </si>
  <si>
    <t>ALLERGY RELIEF</t>
  </si>
  <si>
    <t>ETHANOLAMINE DERIVATIVES</t>
  </si>
  <si>
    <t>ALLI</t>
  </si>
  <si>
    <t>GI DRUGS, MISCELLANEOUS</t>
  </si>
  <si>
    <t>ALOGLIPTIN</t>
  </si>
  <si>
    <t>DIPEPTIDYL PEPTIDASE-4(DPP-4) INHIBITORS</t>
  </si>
  <si>
    <t>ALPHA LIPOIC ACID</t>
  </si>
  <si>
    <t>OTHER MISCELLANEOUS THERAPEUTIC AGENTS</t>
  </si>
  <si>
    <t>ALPHANATE</t>
  </si>
  <si>
    <t>ALPHANINE SD</t>
  </si>
  <si>
    <t>ALPROLIX</t>
  </si>
  <si>
    <t>ALTUVIIIO</t>
  </si>
  <si>
    <t>ALUNBRIG</t>
  </si>
  <si>
    <t>ALVAIZ</t>
  </si>
  <si>
    <t>HEMATOPOIETIC AGENTS</t>
  </si>
  <si>
    <t>ALYGLO</t>
  </si>
  <si>
    <t>ANTITOXINS AND IMMUNE GLOBULINS</t>
  </si>
  <si>
    <t>ALYMSYS</t>
  </si>
  <si>
    <t>ALYQ</t>
  </si>
  <si>
    <t>AMBRISENTAN</t>
  </si>
  <si>
    <t>AMJEVITA(CF)</t>
  </si>
  <si>
    <t>AMJEVITA(CF) AUTOINJECTOR</t>
  </si>
  <si>
    <t>AMPYRA</t>
  </si>
  <si>
    <t>PROTECTIVE AGENTS</t>
  </si>
  <si>
    <t>AMTAGVI</t>
  </si>
  <si>
    <t>AMVUTTRA</t>
  </si>
  <si>
    <t>ANDEXXA</t>
  </si>
  <si>
    <t>ANGIOMAX</t>
  </si>
  <si>
    <t>DIRECT THROMBIN INHIBITORS</t>
  </si>
  <si>
    <t>ANKTIVA</t>
  </si>
  <si>
    <t>APOKYN</t>
  </si>
  <si>
    <t>NONERGOT-DERIV.DOPAMINE RECEPTOR AGONIST</t>
  </si>
  <si>
    <t>APOMORPHINE HCL</t>
  </si>
  <si>
    <t>ARALAST NP</t>
  </si>
  <si>
    <t>BLOOD DERIVATIVES</t>
  </si>
  <si>
    <t>ARANESP</t>
  </si>
  <si>
    <t>ARCALYST</t>
  </si>
  <si>
    <t>INTERLEUKIN ANTAGONISTS</t>
  </si>
  <si>
    <t>ARESTIN</t>
  </si>
  <si>
    <t>ANTIBACTERIALS (52:04)</t>
  </si>
  <si>
    <t>ARGATROBAN</t>
  </si>
  <si>
    <t>ARGATROBAN-0.9% NACL</t>
  </si>
  <si>
    <t>ARIMIDEX</t>
  </si>
  <si>
    <t>ARISTADA</t>
  </si>
  <si>
    <t>ARISTADA INITIO</t>
  </si>
  <si>
    <t>ARIXTRA</t>
  </si>
  <si>
    <t>INDIRECT FACTOR XA INHIBITORS</t>
  </si>
  <si>
    <t>ARRANON</t>
  </si>
  <si>
    <t>ARSENIC TRIOXIDE</t>
  </si>
  <si>
    <t>ARTHRITIS</t>
  </si>
  <si>
    <t>SALICYLATES</t>
  </si>
  <si>
    <t>ASCENIV</t>
  </si>
  <si>
    <t>ASPARLAS</t>
  </si>
  <si>
    <t>ASTAGRAF XL</t>
  </si>
  <si>
    <t>CALCINEURIN INHIBITORS, MISC (90:28)</t>
  </si>
  <si>
    <t>ATGAM</t>
  </si>
  <si>
    <t>POLYCLONAL ANTIBODIES, MISCELLANEOUS</t>
  </si>
  <si>
    <t>AUBAGIO</t>
  </si>
  <si>
    <t>ANTIMETABOLITES</t>
  </si>
  <si>
    <t>AUGTYRO</t>
  </si>
  <si>
    <t>AUSTEDO</t>
  </si>
  <si>
    <t>VESICULAR MONOAMINE TRANSPORT2 INHIBITOR</t>
  </si>
  <si>
    <t>AVASTIN</t>
  </si>
  <si>
    <t>AVEED</t>
  </si>
  <si>
    <t>ANDROGENS</t>
  </si>
  <si>
    <t>AVONEX</t>
  </si>
  <si>
    <t>INTERFERONS</t>
  </si>
  <si>
    <t>AVONEX PEN</t>
  </si>
  <si>
    <t>AVSOLA</t>
  </si>
  <si>
    <t>AYVAKIT</t>
  </si>
  <si>
    <t>AZACITIDINE</t>
  </si>
  <si>
    <t>AZEDRA DOSIMETRIC</t>
  </si>
  <si>
    <t>AZEDRA THERAPEUTIC</t>
  </si>
  <si>
    <t>BACITRACIN</t>
  </si>
  <si>
    <t>ANTIBACTERIALS (84:04)</t>
  </si>
  <si>
    <t>BAFIERTAM</t>
  </si>
  <si>
    <t>FUMARATES</t>
  </si>
  <si>
    <t>BALFAXAR</t>
  </si>
  <si>
    <t>BALVERSA</t>
  </si>
  <si>
    <t>BANOPHEN</t>
  </si>
  <si>
    <t>BARACLUDE</t>
  </si>
  <si>
    <t>BAVENCIO</t>
  </si>
  <si>
    <t>BELEODAQ</t>
  </si>
  <si>
    <t>BELRAPZO</t>
  </si>
  <si>
    <t>BENDAMUSTINE HCL</t>
  </si>
  <si>
    <t>BENDEKA</t>
  </si>
  <si>
    <t>BENEFIX</t>
  </si>
  <si>
    <t>BENLYSTA</t>
  </si>
  <si>
    <t>IGG1 MONOCLONAL ANTIBODIES</t>
  </si>
  <si>
    <t>BEOVU</t>
  </si>
  <si>
    <t>VASCULAR ENDOTHELIAL GROWTH FACTOR ANTAG</t>
  </si>
  <si>
    <t>BERINERT</t>
  </si>
  <si>
    <t>COMPLEMENT INHIBITORS (92:32)</t>
  </si>
  <si>
    <t>BESPONSA</t>
  </si>
  <si>
    <t>BESREMI</t>
  </si>
  <si>
    <t>BETAINE</t>
  </si>
  <si>
    <t>BETAINE ANHYDROUS</t>
  </si>
  <si>
    <t>BETAINE HCL</t>
  </si>
  <si>
    <t>BETAINE HYDROCHLORIDE</t>
  </si>
  <si>
    <t>BETASERON</t>
  </si>
  <si>
    <t>BETHKIS</t>
  </si>
  <si>
    <t>AMINOGLYCOSIDE ANTIBIOTICS</t>
  </si>
  <si>
    <t>BEVACIZUMAB</t>
  </si>
  <si>
    <t>BEXAROTENE</t>
  </si>
  <si>
    <t>BICNU</t>
  </si>
  <si>
    <t>BIMZELX</t>
  </si>
  <si>
    <t>BIMZELX AUTOINJECTOR</t>
  </si>
  <si>
    <t>BIOTIN</t>
  </si>
  <si>
    <t>VITAMIN B COMPLEX</t>
  </si>
  <si>
    <t>BIVALIRUDIN</t>
  </si>
  <si>
    <t>BIVALIRUDIN-0.9% NACL</t>
  </si>
  <si>
    <t>BIVIGAM</t>
  </si>
  <si>
    <t>BLENREP</t>
  </si>
  <si>
    <t>BLEOMYCIN SULFATE</t>
  </si>
  <si>
    <t>BLINCYTO</t>
  </si>
  <si>
    <t>BORTEZOMIB</t>
  </si>
  <si>
    <t>BOSENTAN</t>
  </si>
  <si>
    <t>BOSULIF</t>
  </si>
  <si>
    <t>BOTOX</t>
  </si>
  <si>
    <t>BOTULINUM TOXINS</t>
  </si>
  <si>
    <t>BOTOX COSMETIC</t>
  </si>
  <si>
    <t>BRAFTOVI</t>
  </si>
  <si>
    <t>BREYANZI</t>
  </si>
  <si>
    <t>BRINEURA</t>
  </si>
  <si>
    <t>BRIUMVI</t>
  </si>
  <si>
    <t>MONOCLONAL ANTIBODIES (90:04)</t>
  </si>
  <si>
    <t>BRONCHITOL</t>
  </si>
  <si>
    <t>RESPIRATORY TRACT AGENTS, MISCELLANEOUS</t>
  </si>
  <si>
    <t>BRUKINSA</t>
  </si>
  <si>
    <t>BUPIVACAINE HCL</t>
  </si>
  <si>
    <t>LOCAL ANESTHETICS (PARENTERAL)</t>
  </si>
  <si>
    <t>BUSULFAN</t>
  </si>
  <si>
    <t>BUSULFEX</t>
  </si>
  <si>
    <t>BYLVAY</t>
  </si>
  <si>
    <t>CHOLELITHOLYTIC AGENTS</t>
  </si>
  <si>
    <t>BYOOVIZ</t>
  </si>
  <si>
    <t>EENT DRUGS, MISCELLANEOUS</t>
  </si>
  <si>
    <t>CABLIVI</t>
  </si>
  <si>
    <t>VON WILLEBRAND FACTOR-RELATED ANTITHROMB</t>
  </si>
  <si>
    <t>CABOMETYX</t>
  </si>
  <si>
    <t>CALCIUM 1,000-VIT D3</t>
  </si>
  <si>
    <t>REPLACEMENT PREPARATIONS</t>
  </si>
  <si>
    <t>CALCIUM CITRATE-VIT D3</t>
  </si>
  <si>
    <t>CALCIUM CITRATE-VITAMIN D3</t>
  </si>
  <si>
    <t>CALCIUM GLUCONATE</t>
  </si>
  <si>
    <t>CALQUENCE</t>
  </si>
  <si>
    <t>CALTRATE-D3 PLUS MINERALS</t>
  </si>
  <si>
    <t>CAMCEVI</t>
  </si>
  <si>
    <t>GONADOTROPINS</t>
  </si>
  <si>
    <t>CAMPTOSAR</t>
  </si>
  <si>
    <t>CAMZYOS</t>
  </si>
  <si>
    <t>CARDIAC DRUGS, MISCELLANEOUS</t>
  </si>
  <si>
    <t>CAPECITABINE</t>
  </si>
  <si>
    <t>CAPHOSOL</t>
  </si>
  <si>
    <t>CAPRELSA</t>
  </si>
  <si>
    <t>CARBAGLU</t>
  </si>
  <si>
    <t>AMMONIA DETOXICANTS</t>
  </si>
  <si>
    <t>CARBOPLATIN</t>
  </si>
  <si>
    <t>CARGLUMIC ACID</t>
  </si>
  <si>
    <t>CARMUSTINE</t>
  </si>
  <si>
    <t>CARVYKTI</t>
  </si>
  <si>
    <t>CASGEVY</t>
  </si>
  <si>
    <t>CAYSTON</t>
  </si>
  <si>
    <t>MONOBACTAM ANTIBIOTICS</t>
  </si>
  <si>
    <t>CENTURY ADULT FORMULA</t>
  </si>
  <si>
    <t>MULTIVITAMIN PREPARATIONS</t>
  </si>
  <si>
    <t>CEPROTIN</t>
  </si>
  <si>
    <t>ANTICOAGULANTS, MISCELLANEOUS</t>
  </si>
  <si>
    <t>CERDELGA</t>
  </si>
  <si>
    <t>ENZYME INHIBITORS</t>
  </si>
  <si>
    <t>CEREZYME</t>
  </si>
  <si>
    <t>CETRORELIX ACETATE</t>
  </si>
  <si>
    <t>ANTIGONADTROPINS</t>
  </si>
  <si>
    <t>CETROTIDE</t>
  </si>
  <si>
    <t>CHENODAL</t>
  </si>
  <si>
    <t>CHILDREN'S ACETAMINOPHEN</t>
  </si>
  <si>
    <t>NON-OPIOID ANALGESICS</t>
  </si>
  <si>
    <t>CHILDREN'S IBUPROFEN</t>
  </si>
  <si>
    <t>REVERSIBLE COX-1/COX-2 INHIBITORS</t>
  </si>
  <si>
    <t>CHILDREN'S PAIN-FEVER</t>
  </si>
  <si>
    <t>CHOLBAM</t>
  </si>
  <si>
    <t>CHORIONIC GONADOTROPIN</t>
  </si>
  <si>
    <t>CIBINQO</t>
  </si>
  <si>
    <t>JANUS KINASE INHIBITORS (84:06)</t>
  </si>
  <si>
    <t>CIMERLI</t>
  </si>
  <si>
    <t>CIMZIA</t>
  </si>
  <si>
    <t>CINACALCET HCL</t>
  </si>
  <si>
    <t>ANTIPARATHYROID AGENTS</t>
  </si>
  <si>
    <t>CINQAIR</t>
  </si>
  <si>
    <t>CINRYZE</t>
  </si>
  <si>
    <t>CIPRO HC</t>
  </si>
  <si>
    <t>QUINOLONE ANTIBIOTICS</t>
  </si>
  <si>
    <t>CISPLATIN</t>
  </si>
  <si>
    <t>CITRACAL-D3 SLOW RELEASE</t>
  </si>
  <si>
    <t>CLADRIBINE</t>
  </si>
  <si>
    <t>CLOFARABINE</t>
  </si>
  <si>
    <t>CLOLAR</t>
  </si>
  <si>
    <t>CLOVIQUE</t>
  </si>
  <si>
    <t>HEAVY METAL ANTAGONISTS</t>
  </si>
  <si>
    <t>COAGADEX</t>
  </si>
  <si>
    <t>CODEINE-GUAIFENESIN</t>
  </si>
  <si>
    <t>COLUMVI</t>
  </si>
  <si>
    <t>COMETRIQ</t>
  </si>
  <si>
    <t>COMPLETE LICE TREATMENT</t>
  </si>
  <si>
    <t>SCABICIDES AND PEDICULICIDES</t>
  </si>
  <si>
    <t>COPAXONE</t>
  </si>
  <si>
    <t>AMINO ACID POLYMERS</t>
  </si>
  <si>
    <t>COPIKTRA</t>
  </si>
  <si>
    <t>COPPER</t>
  </si>
  <si>
    <t>CORIFACT</t>
  </si>
  <si>
    <t>CORTROPHIN</t>
  </si>
  <si>
    <t>COSELA</t>
  </si>
  <si>
    <t>CHEMOTHERAPY ANTIDOTES/PROTECTANTS</t>
  </si>
  <si>
    <t>COSENTYX</t>
  </si>
  <si>
    <t>COSENTYX (2 SYRINGES)</t>
  </si>
  <si>
    <t>COSENTYX SENSOREADY (2 PENS)</t>
  </si>
  <si>
    <t>COSENTYX SENSOREADY PEN</t>
  </si>
  <si>
    <t>COSENTYX SYRINGE</t>
  </si>
  <si>
    <t>COSENTYX UNOREADY PEN</t>
  </si>
  <si>
    <t>COSMEGEN</t>
  </si>
  <si>
    <t>COTELLIC</t>
  </si>
  <si>
    <t>CRYSVITA</t>
  </si>
  <si>
    <t>ELECTROLYTIC,CALORIC,WATER BALANCE MISC,</t>
  </si>
  <si>
    <t>CUTAQUIG</t>
  </si>
  <si>
    <t>CUVITRU</t>
  </si>
  <si>
    <t>CYCLOBENZAPRINE HCL ER</t>
  </si>
  <si>
    <t>CENTRALLY ACTING SKELETAL MUSCLE RELAXNT</t>
  </si>
  <si>
    <t>CYCLOPHOSPHAMIDE</t>
  </si>
  <si>
    <t>CYCLOSPORINE</t>
  </si>
  <si>
    <t>CYCLOSPORINE MODIFIED</t>
  </si>
  <si>
    <t>CYLTEZO(CF)</t>
  </si>
  <si>
    <t>CYLTEZO(CF) PEN</t>
  </si>
  <si>
    <t>CYLTEZO(CF) PEN CROHN'S-UC-HS</t>
  </si>
  <si>
    <t>CYLTEZO(CF) PEN PSORIASIS-UV</t>
  </si>
  <si>
    <t>CYRAMZA</t>
  </si>
  <si>
    <t>CYSTADANE</t>
  </si>
  <si>
    <t>CYSTADROPS</t>
  </si>
  <si>
    <t>MACULAR DEGENERATION AGENTS</t>
  </si>
  <si>
    <t>CYSTAGON</t>
  </si>
  <si>
    <t>CYSTARAN</t>
  </si>
  <si>
    <t>CYTARABINE</t>
  </si>
  <si>
    <t>CYTOGAM</t>
  </si>
  <si>
    <t>CYTOVENE</t>
  </si>
  <si>
    <t>DACOGEN</t>
  </si>
  <si>
    <t>DACTINOMYCIN</t>
  </si>
  <si>
    <t>DALFAMPRIDINE ER</t>
  </si>
  <si>
    <t>DANYELZA</t>
  </si>
  <si>
    <t>DAPTOMYCIN</t>
  </si>
  <si>
    <t>CYCLIC LIPOPEPTIDE ANTIBIOTICS</t>
  </si>
  <si>
    <t>DARAPRIM</t>
  </si>
  <si>
    <t>ANTIMALARIALS</t>
  </si>
  <si>
    <t>DARZALEX</t>
  </si>
  <si>
    <t>DARZALEX FASPRO</t>
  </si>
  <si>
    <t>DASATINIB</t>
  </si>
  <si>
    <t>DAUNORUBICIN HCL</t>
  </si>
  <si>
    <t>DAURISMO</t>
  </si>
  <si>
    <t>DAYBUE</t>
  </si>
  <si>
    <t>CENTRAL NERVOUS SYSTEM AGENTS, MISC.</t>
  </si>
  <si>
    <t>DEBROX</t>
  </si>
  <si>
    <t>ASTRINGENTS (52:04)</t>
  </si>
  <si>
    <t>DECITABINE</t>
  </si>
  <si>
    <t>DEFERASIROX</t>
  </si>
  <si>
    <t>DEFERIPRONE</t>
  </si>
  <si>
    <t>DEFERIPRONE (3 TIMES A DAY)</t>
  </si>
  <si>
    <t>DEFLAZACORT</t>
  </si>
  <si>
    <t>ADRENALS</t>
  </si>
  <si>
    <t>DEPEN</t>
  </si>
  <si>
    <t>DEXAMETHASONE SODIUM PHOSPHATE</t>
  </si>
  <si>
    <t>DIACOMIT</t>
  </si>
  <si>
    <t>GABA-MEDIATED ANTICONVULSANTS</t>
  </si>
  <si>
    <t>DICHLORPHENAMIDE</t>
  </si>
  <si>
    <t>CARBONIC ANHYDRASE INHIBITORS (MISC.)</t>
  </si>
  <si>
    <t>DICLOFENAC SODIUM</t>
  </si>
  <si>
    <t>DICYCLOMINE HCL</t>
  </si>
  <si>
    <t>ANTIMUSCARINICS/ANTISPASMODICS</t>
  </si>
  <si>
    <t>DIMETHYL FUMARATE</t>
  </si>
  <si>
    <t>DOCEFREZ</t>
  </si>
  <si>
    <t>DOCETAXEL</t>
  </si>
  <si>
    <t>DOCIVYX</t>
  </si>
  <si>
    <t>DOCOSANOL</t>
  </si>
  <si>
    <t>DOCUSATE SODIUM</t>
  </si>
  <si>
    <t>DOPTELET</t>
  </si>
  <si>
    <t>DOXIL</t>
  </si>
  <si>
    <t>DOXORUBICIN HCL</t>
  </si>
  <si>
    <t>DOXORUBICIN HCL LIPOSOME</t>
  </si>
  <si>
    <t>D-PENAMINE</t>
  </si>
  <si>
    <t>DUAL ACTION COMPLETE</t>
  </si>
  <si>
    <t>HISTAMINE H2-ANTAGONISTS</t>
  </si>
  <si>
    <t>DUPIXENT PEN</t>
  </si>
  <si>
    <t>SKIN AND MUCOUS MEMBRANE AGENTS, MISC.</t>
  </si>
  <si>
    <t>DUPIXENT SYRINGE</t>
  </si>
  <si>
    <t>DURYSTA</t>
  </si>
  <si>
    <t>PROSTAGLANDIN ANALOGS</t>
  </si>
  <si>
    <t>DUVYZAT</t>
  </si>
  <si>
    <t>DYSPORT</t>
  </si>
  <si>
    <t>EDARAVONE</t>
  </si>
  <si>
    <t>AMYOTROPHIC LATERAL SCLEROSIS(ALS) AGENT</t>
  </si>
  <si>
    <t>EFFEXOR XR</t>
  </si>
  <si>
    <t>SEL.SEROTONIN,NOREPI REUPTAKE INHIBITOR</t>
  </si>
  <si>
    <t>EGRIFTA SV</t>
  </si>
  <si>
    <t>SOMATOTROPIN AGONISTS</t>
  </si>
  <si>
    <t>ELAHERE</t>
  </si>
  <si>
    <t>ELAPRASE</t>
  </si>
  <si>
    <t>ELELYSO</t>
  </si>
  <si>
    <t>ELEVIDYS</t>
  </si>
  <si>
    <t>ELFABRIO</t>
  </si>
  <si>
    <t>ELIGARD</t>
  </si>
  <si>
    <t>ELLENCE</t>
  </si>
  <si>
    <t>ELOCTATE</t>
  </si>
  <si>
    <t>ELREXFIO</t>
  </si>
  <si>
    <t>ELZONRIS</t>
  </si>
  <si>
    <t>EMCYT</t>
  </si>
  <si>
    <t>EMERGEN-C</t>
  </si>
  <si>
    <t>VITAMIN C</t>
  </si>
  <si>
    <t>EMFLAZA</t>
  </si>
  <si>
    <t>EMPAVELI</t>
  </si>
  <si>
    <t>COMPLEMENT INHIBITOR AGENTS (90:20)</t>
  </si>
  <si>
    <t>EMPLICITI</t>
  </si>
  <si>
    <t>ENBREL</t>
  </si>
  <si>
    <t>ENBREL MINI</t>
  </si>
  <si>
    <t>ENBREL SURECLICK</t>
  </si>
  <si>
    <t>ENDARI</t>
  </si>
  <si>
    <t>ENHERTU</t>
  </si>
  <si>
    <t>ENJAYMO</t>
  </si>
  <si>
    <t>ENOXAPARIN SODIUM</t>
  </si>
  <si>
    <t>HEPARINS</t>
  </si>
  <si>
    <t>ENOXILUV</t>
  </si>
  <si>
    <t>ENSPRYNG</t>
  </si>
  <si>
    <t>MONOCLONAL ANTIBODIES (90:12)</t>
  </si>
  <si>
    <t>ENTECAVIR</t>
  </si>
  <si>
    <t>ENTYVIO</t>
  </si>
  <si>
    <t>DISEASE-MODIFYING ANTIRHEUMAT DRUGS MISC</t>
  </si>
  <si>
    <t>ENTYVIO PEN</t>
  </si>
  <si>
    <t>ENVARSUS XR</t>
  </si>
  <si>
    <t>EPCLUSA</t>
  </si>
  <si>
    <t>HCV POLYMERASE INHIBITOR ANTIVIRALS</t>
  </si>
  <si>
    <t>EPIDIOLEX</t>
  </si>
  <si>
    <t>ANTICONVULSANTS, MISCELLANEOUS</t>
  </si>
  <si>
    <t>EPIRUBICIN HCL</t>
  </si>
  <si>
    <t>EPKINLY</t>
  </si>
  <si>
    <t>EPOGEN</t>
  </si>
  <si>
    <t>EPOPROSTENOL SODIUM</t>
  </si>
  <si>
    <t>EPTIFIBATIDE</t>
  </si>
  <si>
    <t>ERBITUX</t>
  </si>
  <si>
    <t>ERIBULIN MESYLATE</t>
  </si>
  <si>
    <t>ERIVEDGE</t>
  </si>
  <si>
    <t>ERLEADA</t>
  </si>
  <si>
    <t>ERLOTINIB HCL</t>
  </si>
  <si>
    <t>ERWINASE</t>
  </si>
  <si>
    <t>ERWINAZE</t>
  </si>
  <si>
    <t>ESBRIET</t>
  </si>
  <si>
    <t>ANTIFIBROTIC AGENTS</t>
  </si>
  <si>
    <t>ESPEROCT</t>
  </si>
  <si>
    <t>EUFLEXXA</t>
  </si>
  <si>
    <t>EVENITY</t>
  </si>
  <si>
    <t>BONE-MODIFYING AGENTS</t>
  </si>
  <si>
    <t>EVENITY (2 SYRINGES)</t>
  </si>
  <si>
    <t>EVEROLIMUS</t>
  </si>
  <si>
    <t>EVKEEZA</t>
  </si>
  <si>
    <t>ANGPTL3 INHIBITORS (24:06)</t>
  </si>
  <si>
    <t>EVOMELA</t>
  </si>
  <si>
    <t>EVRYSDI</t>
  </si>
  <si>
    <t>EXJADE</t>
  </si>
  <si>
    <t>EXKIVITY</t>
  </si>
  <si>
    <t>EXONDYS-51</t>
  </si>
  <si>
    <t>ANTISENSE OLIGONUCLEOTIDES</t>
  </si>
  <si>
    <t>EXTAVIA</t>
  </si>
  <si>
    <t>EYE DROPS ADVANCED RELIEF</t>
  </si>
  <si>
    <t>VASOCONSTRICTORS</t>
  </si>
  <si>
    <t>EYE ITCH RELIEF</t>
  </si>
  <si>
    <t>ANTIALLERGIC AGENTS</t>
  </si>
  <si>
    <t>EYE WASH</t>
  </si>
  <si>
    <t>EYLEA</t>
  </si>
  <si>
    <t>FABHALTA</t>
  </si>
  <si>
    <t>FABRAZYME</t>
  </si>
  <si>
    <t>FARESTON</t>
  </si>
  <si>
    <t>ESTROGEN AGONIST-ANTAGONISTS</t>
  </si>
  <si>
    <t>FARYDAK</t>
  </si>
  <si>
    <t>FASENRA</t>
  </si>
  <si>
    <t>FASENRA PEN</t>
  </si>
  <si>
    <t>FASLODEX</t>
  </si>
  <si>
    <t>FEIBA</t>
  </si>
  <si>
    <t>FENSOLVI</t>
  </si>
  <si>
    <t>FENTANYL-ROPIVACAINE-0.9% NACL</t>
  </si>
  <si>
    <t>OPIOID AGONISTS (28:08)</t>
  </si>
  <si>
    <t>FERRIPROX</t>
  </si>
  <si>
    <t>FERRIPROX (2 TIMES A DAY)</t>
  </si>
  <si>
    <t>FERRIPROX (3 TIMES A DAY)</t>
  </si>
  <si>
    <t>FILSPARI</t>
  </si>
  <si>
    <t>ENDOTHELIN RECEPTOR ANTAGONISTS</t>
  </si>
  <si>
    <t>FILSUVEZ</t>
  </si>
  <si>
    <t>FINGOLIMOD</t>
  </si>
  <si>
    <t>SPHINGOSINE 1-PHOSPHATE (S1P) AGENTS</t>
  </si>
  <si>
    <t>FINTEPLA</t>
  </si>
  <si>
    <t>FIRAZYR</t>
  </si>
  <si>
    <t>BRADYKININ RECEPTOR ANTAGONISTS</t>
  </si>
  <si>
    <t>FIRDAPSE</t>
  </si>
  <si>
    <t>PARASYMPATHOMIMETIC (CHOLINERGIC AGENTS)</t>
  </si>
  <si>
    <t>FIRMAGON</t>
  </si>
  <si>
    <t>FLEBOGAMMA DIF</t>
  </si>
  <si>
    <t>FLOLAN</t>
  </si>
  <si>
    <t>FLOXURIDINE</t>
  </si>
  <si>
    <t>FLUDARABINE PHOSPHATE</t>
  </si>
  <si>
    <t>FOCALIN XR</t>
  </si>
  <si>
    <t>RESPIRATORY AND CNS STIMULANTS</t>
  </si>
  <si>
    <t>FOLLISTIM AQ</t>
  </si>
  <si>
    <t>FOLOTYN</t>
  </si>
  <si>
    <t>FONDAPARINUX SODIUM</t>
  </si>
  <si>
    <t>FORTEO</t>
  </si>
  <si>
    <t>PARATHYROID AGENTS</t>
  </si>
  <si>
    <t>FOTIVDA</t>
  </si>
  <si>
    <t>FRAGMIN</t>
  </si>
  <si>
    <t>FRUZAQLA</t>
  </si>
  <si>
    <t>FULPHILA</t>
  </si>
  <si>
    <t>FULVESTRANT</t>
  </si>
  <si>
    <t>FYARRO</t>
  </si>
  <si>
    <t>FYLNETRA</t>
  </si>
  <si>
    <t>FYREMADEL</t>
  </si>
  <si>
    <t>GALAFOLD</t>
  </si>
  <si>
    <t>ENZYME COFACTORS/CHAPERONES</t>
  </si>
  <si>
    <t>GAMASTAN</t>
  </si>
  <si>
    <t>GAMIFANT</t>
  </si>
  <si>
    <t>INTERFERON GAMMA INHIBITOR AGENTS, MISC</t>
  </si>
  <si>
    <t>GAMMAGARD LIQUID</t>
  </si>
  <si>
    <t>GAMMAGARD S-D</t>
  </si>
  <si>
    <t>GAMMAKED</t>
  </si>
  <si>
    <t>GAMMAPLEX</t>
  </si>
  <si>
    <t>GAMUNEX-C</t>
  </si>
  <si>
    <t>GANIRELIX ACETATE</t>
  </si>
  <si>
    <t>GAS RELIEF</t>
  </si>
  <si>
    <t>ANTIFLATULENTS</t>
  </si>
  <si>
    <t>GATTEX</t>
  </si>
  <si>
    <t>DIGESTANTS</t>
  </si>
  <si>
    <t>GAVRETO</t>
  </si>
  <si>
    <t>GAZYVA</t>
  </si>
  <si>
    <t>GEFITINIB</t>
  </si>
  <si>
    <t>GEMCITABINE HCL</t>
  </si>
  <si>
    <t>GENGRAF</t>
  </si>
  <si>
    <t>GENOTROPIN</t>
  </si>
  <si>
    <t>PITUITARY</t>
  </si>
  <si>
    <t>GENTEAL TEARS</t>
  </si>
  <si>
    <t>GERI-LANTA</t>
  </si>
  <si>
    <t>ANTACIDS AND ADSORBENTS</t>
  </si>
  <si>
    <t>GILENYA</t>
  </si>
  <si>
    <t>GILOTRIF</t>
  </si>
  <si>
    <t>GIMOTI</t>
  </si>
  <si>
    <t>PROKINETIC AGENTS</t>
  </si>
  <si>
    <t>GIVLAARI</t>
  </si>
  <si>
    <t>GLASSIA</t>
  </si>
  <si>
    <t>GLATIRAMER ACETATE</t>
  </si>
  <si>
    <t>GLATOPA</t>
  </si>
  <si>
    <t>GLEEVEC</t>
  </si>
  <si>
    <t>GLEOSTINE</t>
  </si>
  <si>
    <t>GLIADEL</t>
  </si>
  <si>
    <t>GLUCOSAMINE-CHONDROITIN</t>
  </si>
  <si>
    <t>GLYCOPYRROLATE</t>
  </si>
  <si>
    <t>GONAL-F</t>
  </si>
  <si>
    <t>GONAL-F RFF</t>
  </si>
  <si>
    <t>GONAL-F RFF REDI-JECT</t>
  </si>
  <si>
    <t>GRANIX</t>
  </si>
  <si>
    <t>HADLIMA</t>
  </si>
  <si>
    <t>HADLIMA PUSHTOUCH</t>
  </si>
  <si>
    <t>HADLIMA(CF)</t>
  </si>
  <si>
    <t>HADLIMA(CF) PUSHTOUCH</t>
  </si>
  <si>
    <t>HAEGARDA</t>
  </si>
  <si>
    <t>HAIR, SKIN AND NAILS</t>
  </si>
  <si>
    <t>HALAVEN</t>
  </si>
  <si>
    <t>HARVONI</t>
  </si>
  <si>
    <t>HEALON5 PRO</t>
  </si>
  <si>
    <t>HEARTBURN RELIEF</t>
  </si>
  <si>
    <t>HEMGENIX</t>
  </si>
  <si>
    <t>HEMLIBRA</t>
  </si>
  <si>
    <t>HEMOFIL M</t>
  </si>
  <si>
    <t>HEMORRHOIDAL OINTMENT</t>
  </si>
  <si>
    <t>ALPHA-ADRENERGIC AGONISTS</t>
  </si>
  <si>
    <t>HEPSERA</t>
  </si>
  <si>
    <t>HEPZATO</t>
  </si>
  <si>
    <t>HERCEPTIN</t>
  </si>
  <si>
    <t>HERCEPTIN HYLECTA</t>
  </si>
  <si>
    <t>HERZUMA</t>
  </si>
  <si>
    <t>HIZENTRA</t>
  </si>
  <si>
    <t>HULIO(CF)</t>
  </si>
  <si>
    <t>HULIO(CF) PEN</t>
  </si>
  <si>
    <t>HUMATE-P</t>
  </si>
  <si>
    <t>HUMATROPE</t>
  </si>
  <si>
    <t>HUMIRA</t>
  </si>
  <si>
    <t>HUMIRA PEN</t>
  </si>
  <si>
    <t>HUMIRA PEN CROHN'S-UC-HS</t>
  </si>
  <si>
    <t>HUMIRA PEN PSOR-UVEITS-ADOL HS</t>
  </si>
  <si>
    <t>HUMIRA(CF)</t>
  </si>
  <si>
    <t>HUMIRA(CF) PEDIATRIC CROHN'S</t>
  </si>
  <si>
    <t>HUMIRA(CF) PEN</t>
  </si>
  <si>
    <t>HUMIRA(CF) PEN CROHN'S-UC-HS</t>
  </si>
  <si>
    <t>HUMIRA(CF) PEN PEDIATRIC UC</t>
  </si>
  <si>
    <t>HUMIRA(CF) PEN PSOR-UV-ADOL HS</t>
  </si>
  <si>
    <t>HYCAMTIN</t>
  </si>
  <si>
    <t>HYDREA</t>
  </si>
  <si>
    <t>HYDROCORTISONE-ALOE</t>
  </si>
  <si>
    <t>CORTICOSTEROIDS (SKIN, MUCOUS MEMBRANE)</t>
  </si>
  <si>
    <t>HYDROXYPROGESTERONE CAPROATE</t>
  </si>
  <si>
    <t>PROGESTINS</t>
  </si>
  <si>
    <t>HYFTOR</t>
  </si>
  <si>
    <t>HYQVIA</t>
  </si>
  <si>
    <t>HYRIMOZ</t>
  </si>
  <si>
    <t>HYRIMOZ PEN</t>
  </si>
  <si>
    <t>HYRIMOZ(CF)</t>
  </si>
  <si>
    <t>HYRIMOZ(CF) PEDIATRIC CROHN'S</t>
  </si>
  <si>
    <t>HYRIMOZ(CF) PEN</t>
  </si>
  <si>
    <t>HYRIMOZ(CF) PEN CROHN-UC START</t>
  </si>
  <si>
    <t>HYRIMOZ(CF) PEN PSORIASIS</t>
  </si>
  <si>
    <t>IBRANCE</t>
  </si>
  <si>
    <t>IBSRELA</t>
  </si>
  <si>
    <t>IBUPROFEN PM</t>
  </si>
  <si>
    <t>ICATIBANT</t>
  </si>
  <si>
    <t>ICLUSIG</t>
  </si>
  <si>
    <t>IDACIO(CF)</t>
  </si>
  <si>
    <t>IDACIO(CF) PEN</t>
  </si>
  <si>
    <t>IDACIO(CF) PEN CROHN'S-UC</t>
  </si>
  <si>
    <t>IDACIO(CF) PEN PSORIASIS</t>
  </si>
  <si>
    <t>IDAMYCIN PFS</t>
  </si>
  <si>
    <t>IDARUBICIN HCL</t>
  </si>
  <si>
    <t>IDELVION</t>
  </si>
  <si>
    <t>IDHIFA</t>
  </si>
  <si>
    <t>IFEX</t>
  </si>
  <si>
    <t>IFOSFAMIDE</t>
  </si>
  <si>
    <t>IGALMI</t>
  </si>
  <si>
    <t>ANXIOLYTICS,SEDATIVES,AND HYPNOTICS,MISC</t>
  </si>
  <si>
    <t>ILARIS</t>
  </si>
  <si>
    <t>ILLUCCIX</t>
  </si>
  <si>
    <t>DIAGNOSTIC AGENTS</t>
  </si>
  <si>
    <t>ILUMYA</t>
  </si>
  <si>
    <t>ILUVIEN</t>
  </si>
  <si>
    <t>CORTICOSTEROIDS (EENT)</t>
  </si>
  <si>
    <t>IMATINIB MESYLATE</t>
  </si>
  <si>
    <t>IMBRUVICA</t>
  </si>
  <si>
    <t>IMFINZI</t>
  </si>
  <si>
    <t>IMJUDO</t>
  </si>
  <si>
    <t>IMLYGIC</t>
  </si>
  <si>
    <t>INBRIJA</t>
  </si>
  <si>
    <t>DOPAMINE PRECURSORS</t>
  </si>
  <si>
    <t>INCRELEX</t>
  </si>
  <si>
    <t>INFLECTRA</t>
  </si>
  <si>
    <t>INFLIXIMAB</t>
  </si>
  <si>
    <t>INFUGEM</t>
  </si>
  <si>
    <t>INGREZZA</t>
  </si>
  <si>
    <t>INGREZZA INITIATION PK(TARDIV)</t>
  </si>
  <si>
    <t>INGREZZA SPRINKLE</t>
  </si>
  <si>
    <t>INLYTA</t>
  </si>
  <si>
    <t>INQOVI</t>
  </si>
  <si>
    <t>INREBIC</t>
  </si>
  <si>
    <t>INSULIN SYRINGE</t>
  </si>
  <si>
    <t>INTRON A</t>
  </si>
  <si>
    <t>INVEGA HAFYERA</t>
  </si>
  <si>
    <t>INVEGA SUSTENNA</t>
  </si>
  <si>
    <t>INVEGA TRINZA</t>
  </si>
  <si>
    <t>IRESSA</t>
  </si>
  <si>
    <t>IRINOTECAN HCL</t>
  </si>
  <si>
    <t>ISTODAX</t>
  </si>
  <si>
    <t>ISTURISA</t>
  </si>
  <si>
    <t>IXEMPRA</t>
  </si>
  <si>
    <t>IXINITY</t>
  </si>
  <si>
    <t>JADENU</t>
  </si>
  <si>
    <t>JADENU SPRINKLE</t>
  </si>
  <si>
    <t>JAKAFI</t>
  </si>
  <si>
    <t>JAVYGTOR</t>
  </si>
  <si>
    <t>JAYPIRCA</t>
  </si>
  <si>
    <t>JELMYTO</t>
  </si>
  <si>
    <t>JEMPERLI</t>
  </si>
  <si>
    <t>JESDUVROQ</t>
  </si>
  <si>
    <t>JEUVEAU</t>
  </si>
  <si>
    <t>JEVTANA</t>
  </si>
  <si>
    <t>JIVI</t>
  </si>
  <si>
    <t>JOENJA</t>
  </si>
  <si>
    <t>JUXTAPID</t>
  </si>
  <si>
    <t>MTP PROTEIN INHIBITORS</t>
  </si>
  <si>
    <t>JYNARQUE</t>
  </si>
  <si>
    <t>VASOPRESSIN ANTAGONISTS</t>
  </si>
  <si>
    <t>KADCYLA</t>
  </si>
  <si>
    <t>KALBITOR</t>
  </si>
  <si>
    <t>KALLIKREIN</t>
  </si>
  <si>
    <t>KALYDECO</t>
  </si>
  <si>
    <t>CYSTIC FIBROSIS (CFTR) POTENTIATORS</t>
  </si>
  <si>
    <t>KANJINTI</t>
  </si>
  <si>
    <t>KANUMA</t>
  </si>
  <si>
    <t>KCENTRA</t>
  </si>
  <si>
    <t>KEMOPLAT</t>
  </si>
  <si>
    <t>KENALOG-10</t>
  </si>
  <si>
    <t>KEPIVANCE</t>
  </si>
  <si>
    <t>CELL STIMULANTS AND PROLIFERANTS</t>
  </si>
  <si>
    <t>KESIMPTA PEN</t>
  </si>
  <si>
    <t>KETAMINE HCL-NACL</t>
  </si>
  <si>
    <t>NON-BARBITURATES</t>
  </si>
  <si>
    <t>KEVEYIS</t>
  </si>
  <si>
    <t>KEVZARA</t>
  </si>
  <si>
    <t>KEYTRUDA</t>
  </si>
  <si>
    <t>KHAPZORY</t>
  </si>
  <si>
    <t>KIMMTRAK</t>
  </si>
  <si>
    <t>KINERET</t>
  </si>
  <si>
    <t>KISQALI</t>
  </si>
  <si>
    <t>KISQALI FEMARA CO-PACK</t>
  </si>
  <si>
    <t>KISUNLA</t>
  </si>
  <si>
    <t>KITABIS PAK</t>
  </si>
  <si>
    <t>KOATE</t>
  </si>
  <si>
    <t>KOGENATE FS</t>
  </si>
  <si>
    <t>KORLYM</t>
  </si>
  <si>
    <t>ANTIDIABETIC AGENTS, MISCELLANEOUS</t>
  </si>
  <si>
    <t>KOSELUGO</t>
  </si>
  <si>
    <t>KOVALTRY</t>
  </si>
  <si>
    <t>KRAZATI</t>
  </si>
  <si>
    <t>KRYSTEXXA</t>
  </si>
  <si>
    <t>ANTIGOUT AGENTS</t>
  </si>
  <si>
    <t>KUVAN</t>
  </si>
  <si>
    <t>KYMRIAH</t>
  </si>
  <si>
    <t>KYNMOBI</t>
  </si>
  <si>
    <t>KYPROLIS</t>
  </si>
  <si>
    <t>LAMZEDE</t>
  </si>
  <si>
    <t>LANREOTIDE ACETATE</t>
  </si>
  <si>
    <t>SOMATOSTATIN AGONISTS</t>
  </si>
  <si>
    <t>LANTIDRA</t>
  </si>
  <si>
    <t>CELLULAR THERAPY</t>
  </si>
  <si>
    <t>LAPATINIB</t>
  </si>
  <si>
    <t>L-CARNITINE</t>
  </si>
  <si>
    <t>CALORIC AGENTS</t>
  </si>
  <si>
    <t>LEDIPASVIR-SOFOSBUVIR</t>
  </si>
  <si>
    <t>LEMTRADA</t>
  </si>
  <si>
    <t>LENALIDOMIDE</t>
  </si>
  <si>
    <t>LENMELDY</t>
  </si>
  <si>
    <t>LENVIMA</t>
  </si>
  <si>
    <t>LEQEMBI</t>
  </si>
  <si>
    <t>LETAIRIS</t>
  </si>
  <si>
    <t>LEUKERAN</t>
  </si>
  <si>
    <t>LEUKINE</t>
  </si>
  <si>
    <t>LEUPROLIDE ACETATE</t>
  </si>
  <si>
    <t>LEUPROLIDE DEPOT</t>
  </si>
  <si>
    <t>LEVOLEUCOVORIN CALCIUM</t>
  </si>
  <si>
    <t>LIBTAYO</t>
  </si>
  <si>
    <t>LIDOCAINE</t>
  </si>
  <si>
    <t>ANTIPRURITICS AND LOCAL ANESTHETICS</t>
  </si>
  <si>
    <t>LIDOCAINE HCL</t>
  </si>
  <si>
    <t>LITFULO</t>
  </si>
  <si>
    <t>LIVMARLI</t>
  </si>
  <si>
    <t>LIVTENCITY</t>
  </si>
  <si>
    <t>CMV ANTIVIRALS</t>
  </si>
  <si>
    <t>LOCAMETZ</t>
  </si>
  <si>
    <t>LONSURF</t>
  </si>
  <si>
    <t>LOQTORZI</t>
  </si>
  <si>
    <t>LORBRENA</t>
  </si>
  <si>
    <t>LOVENOX</t>
  </si>
  <si>
    <t>LUBRICANT EYE</t>
  </si>
  <si>
    <t>LUBRICANT EYE DROP</t>
  </si>
  <si>
    <t>LUCENTIS</t>
  </si>
  <si>
    <t>LUMAKRAS</t>
  </si>
  <si>
    <t>LUMIZYME</t>
  </si>
  <si>
    <t>LUMOXITI</t>
  </si>
  <si>
    <t>LUMRYZ</t>
  </si>
  <si>
    <t>WAKEFULNESS-PROMOTING AGENTS</t>
  </si>
  <si>
    <t>LUMRYZ STARTER PACK</t>
  </si>
  <si>
    <t>LUNSUMIO</t>
  </si>
  <si>
    <t>LUPANETA PACK</t>
  </si>
  <si>
    <t>LUPKYNIS</t>
  </si>
  <si>
    <t>T-CELL BLOCKERS (90:24)</t>
  </si>
  <si>
    <t>LUPRON DEPOT</t>
  </si>
  <si>
    <t>LUPRON DEPOT-PED</t>
  </si>
  <si>
    <t>LUTATHERA</t>
  </si>
  <si>
    <t>LUXTURNA</t>
  </si>
  <si>
    <t>LYFGENIA</t>
  </si>
  <si>
    <t>LYNPARZA</t>
  </si>
  <si>
    <t>LYRICA</t>
  </si>
  <si>
    <t>LYRICA CR</t>
  </si>
  <si>
    <t>LYSODREN</t>
  </si>
  <si>
    <t>LYTGOBI</t>
  </si>
  <si>
    <t>LYUMJEV</t>
  </si>
  <si>
    <t>RAPID-ACTING INSULINS</t>
  </si>
  <si>
    <t>MACRILEN</t>
  </si>
  <si>
    <t>PITUITARY FUNCTION</t>
  </si>
  <si>
    <t>MAKENA</t>
  </si>
  <si>
    <t>MARQIBO</t>
  </si>
  <si>
    <t>MATULANE</t>
  </si>
  <si>
    <t>MAVENCLAD</t>
  </si>
  <si>
    <t>MAVYRET</t>
  </si>
  <si>
    <t>HCV PROTEASE INHIBITOR ANTIVIRALS</t>
  </si>
  <si>
    <t>MAYZENT</t>
  </si>
  <si>
    <t>MEDIPROXEN</t>
  </si>
  <si>
    <t>MEKINIST</t>
  </si>
  <si>
    <t>MEKTOVI</t>
  </si>
  <si>
    <t>MELATONIN ER</t>
  </si>
  <si>
    <t>MELPHALAN HCL</t>
  </si>
  <si>
    <t>MENOPUR</t>
  </si>
  <si>
    <t>MENSTRUAL PAIN RELIEF</t>
  </si>
  <si>
    <t>MEPSEVII</t>
  </si>
  <si>
    <t>MESALAMINE</t>
  </si>
  <si>
    <t>ANTI-INFLAMMATORY AGENTS (GI DRUGS)</t>
  </si>
  <si>
    <t>METHYL SALICYLATE</t>
  </si>
  <si>
    <t>METHYLPREDNISOLONE ACETATE</t>
  </si>
  <si>
    <t>METHYLPREDNISOLONE SODIUM SUCC</t>
  </si>
  <si>
    <t>MICONAZOLE 3</t>
  </si>
  <si>
    <t>AZOLES (SKIN AND MUCOUS MEMBRANE)</t>
  </si>
  <si>
    <t>MIDAZOLAM HCL</t>
  </si>
  <si>
    <t>BENZODIAZEPINES (ANXIOLYTIC,SEDATIV/HYP)</t>
  </si>
  <si>
    <t>MIDAZOLAM-NACL</t>
  </si>
  <si>
    <t>MIGLUSTAT</t>
  </si>
  <si>
    <t>MIRCERA</t>
  </si>
  <si>
    <t>MITOMYCIN</t>
  </si>
  <si>
    <t>MITOMYCIN-STERILE WATER</t>
  </si>
  <si>
    <t>MITOMYCIN-WATER</t>
  </si>
  <si>
    <t>ANTIGLAUCOMA AGENTS, MISCELLANEOUS</t>
  </si>
  <si>
    <t>MITOXANTRONE HCL</t>
  </si>
  <si>
    <t>MONJUVI</t>
  </si>
  <si>
    <t>MONOJECT SYRINGE</t>
  </si>
  <si>
    <t>MONONINE</t>
  </si>
  <si>
    <t>MOZOBIL</t>
  </si>
  <si>
    <t>MUCUS RELIEF CONGEST-COUGH</t>
  </si>
  <si>
    <t>EXPECTORANTS</t>
  </si>
  <si>
    <t>MULPLETA</t>
  </si>
  <si>
    <t>MULTIVITAMIN WITH FLUORIDE</t>
  </si>
  <si>
    <t>MUTAMYCIN</t>
  </si>
  <si>
    <t>MVASI</t>
  </si>
  <si>
    <t>MYALEPT</t>
  </si>
  <si>
    <t>LEPTINS</t>
  </si>
  <si>
    <t>MYCAPSSA</t>
  </si>
  <si>
    <t>MYCOPHENOLATE MOFETIL</t>
  </si>
  <si>
    <t>ANTIMETABOLITES, IMMUNOSUPP THERAPY MISC</t>
  </si>
  <si>
    <t>MYFEMBREE</t>
  </si>
  <si>
    <t>MYLERAN</t>
  </si>
  <si>
    <t>MYLOTARG</t>
  </si>
  <si>
    <t>MYOBLOC</t>
  </si>
  <si>
    <t>NAGLAZYME</t>
  </si>
  <si>
    <t>NALFON</t>
  </si>
  <si>
    <t>NAPROXEN-ESOMEPRAZOLE MAG</t>
  </si>
  <si>
    <t>NASAL ALLERGY</t>
  </si>
  <si>
    <t>NASAL SPRAY</t>
  </si>
  <si>
    <t>NATPARA</t>
  </si>
  <si>
    <t>NELARABINE</t>
  </si>
  <si>
    <t>NEORAL</t>
  </si>
  <si>
    <t>NEOSPORIN PLUS BURN RELIEF</t>
  </si>
  <si>
    <t>NEOSTIGMINE METHYLSULFATE</t>
  </si>
  <si>
    <t>NERLYNX</t>
  </si>
  <si>
    <t>NEULASTA</t>
  </si>
  <si>
    <t>NEULASTA ONPRO</t>
  </si>
  <si>
    <t>NEUPOGEN</t>
  </si>
  <si>
    <t>NEXAVAR</t>
  </si>
  <si>
    <t>NGENLA</t>
  </si>
  <si>
    <t>NIGHTTIME COLD-FLU RELIEF</t>
  </si>
  <si>
    <t>NILUTAMIDE</t>
  </si>
  <si>
    <t>NINLARO</t>
  </si>
  <si>
    <t>NIPENT</t>
  </si>
  <si>
    <t>NITISINONE</t>
  </si>
  <si>
    <t>NITROSTAT</t>
  </si>
  <si>
    <t>NITRATES AND NITRITES</t>
  </si>
  <si>
    <t>NITYR</t>
  </si>
  <si>
    <t>NIVESTYM</t>
  </si>
  <si>
    <t>NORDITROPIN FLEXPRO</t>
  </si>
  <si>
    <t>NORTHERA</t>
  </si>
  <si>
    <t>ALPHA- AND BETA-ADRENERGIC AGONISTS</t>
  </si>
  <si>
    <t>NOVAREL</t>
  </si>
  <si>
    <t>NOVOEIGHT</t>
  </si>
  <si>
    <t>NOVOSEVEN RT</t>
  </si>
  <si>
    <t>NPLATE</t>
  </si>
  <si>
    <t>NUBEQA</t>
  </si>
  <si>
    <t>NUCALA</t>
  </si>
  <si>
    <t>NULOJIX</t>
  </si>
  <si>
    <t>T-CELL COSTIMULATORY BLOCKERS, MISC</t>
  </si>
  <si>
    <t>NUPLAZID</t>
  </si>
  <si>
    <t>NUTROPIN AQ NUSPIN</t>
  </si>
  <si>
    <t>NUWIQ</t>
  </si>
  <si>
    <t>NYVEPRIA</t>
  </si>
  <si>
    <t>OBIZUR</t>
  </si>
  <si>
    <t>OCALIVA</t>
  </si>
  <si>
    <t>OCREVUS</t>
  </si>
  <si>
    <t>OCREVUS ZUNOVO</t>
  </si>
  <si>
    <t>OCTAGAM</t>
  </si>
  <si>
    <t>OCTREOTIDE ACETATE</t>
  </si>
  <si>
    <t>OCTREOTIDE ACETATE ER</t>
  </si>
  <si>
    <t>ODOMZO</t>
  </si>
  <si>
    <t>OFEV</t>
  </si>
  <si>
    <t>OGIVRI</t>
  </si>
  <si>
    <t>OGSIVEO</t>
  </si>
  <si>
    <t>OJJAARA</t>
  </si>
  <si>
    <t>OLUMIANT</t>
  </si>
  <si>
    <t>JANUS KINASE INHIBITORS, MISCELLANEOUS</t>
  </si>
  <si>
    <t>OMEPRAZOLE</t>
  </si>
  <si>
    <t>PROTON-PUMP INHIBITORS</t>
  </si>
  <si>
    <t>OMIDRIA</t>
  </si>
  <si>
    <t>MYDRIATICS</t>
  </si>
  <si>
    <t>OMISIRGE</t>
  </si>
  <si>
    <t>OMNITROPE</t>
  </si>
  <si>
    <t>OMVOH</t>
  </si>
  <si>
    <t>IMMUNOMODULATORY AGENTS (56:44)</t>
  </si>
  <si>
    <t>OMVOH PEN</t>
  </si>
  <si>
    <t>ONCASPAR</t>
  </si>
  <si>
    <t>ONGENTYS</t>
  </si>
  <si>
    <t>CATECHOL-O-METHYLTRANSFERASE(COMT)INHIB.</t>
  </si>
  <si>
    <t>ONIVYDE</t>
  </si>
  <si>
    <t>ONPATTRO</t>
  </si>
  <si>
    <t>ONTRUZANT</t>
  </si>
  <si>
    <t>ONUREG</t>
  </si>
  <si>
    <t>OPDIVO</t>
  </si>
  <si>
    <t>OPDUALAG</t>
  </si>
  <si>
    <t>OPSUMIT</t>
  </si>
  <si>
    <t>OPSYNVI</t>
  </si>
  <si>
    <t>OPZELURA</t>
  </si>
  <si>
    <t>ORENCIA</t>
  </si>
  <si>
    <t>ORENCIA CLICKJECT</t>
  </si>
  <si>
    <t>ORENITRAM ER</t>
  </si>
  <si>
    <t>ORFADIN</t>
  </si>
  <si>
    <t>ORGOVYX</t>
  </si>
  <si>
    <t>ORKAMBI</t>
  </si>
  <si>
    <t>CYSTIC FIBROSIS (CFTR) CORRECTORS</t>
  </si>
  <si>
    <t>ORLADEYO</t>
  </si>
  <si>
    <t>ORMALVI</t>
  </si>
  <si>
    <t>ORSERDU</t>
  </si>
  <si>
    <t>OTEZLA</t>
  </si>
  <si>
    <t>PHOSPHODIESTERASE-4 INHIBITORS, MISC</t>
  </si>
  <si>
    <t>OVIDREL</t>
  </si>
  <si>
    <t>OXALIPLATIN</t>
  </si>
  <si>
    <t>OXBRYTA</t>
  </si>
  <si>
    <t>OXERVATE</t>
  </si>
  <si>
    <t>ANTI-INFLAMMATORY AGENTS (EENT)</t>
  </si>
  <si>
    <t>OXLUMO</t>
  </si>
  <si>
    <t>PACLITAXEL</t>
  </si>
  <si>
    <t>PACLITAXEL PROTEIN-BOUND</t>
  </si>
  <si>
    <t>PADCEV</t>
  </si>
  <si>
    <t>PAIN RELIEVER</t>
  </si>
  <si>
    <t>PALFORZIA</t>
  </si>
  <si>
    <t>ALLERGENIC EXTRACTS (THERAPEUTIC)</t>
  </si>
  <si>
    <t>PALYNZIQ</t>
  </si>
  <si>
    <t>PANHEMATIN</t>
  </si>
  <si>
    <t>PANRETIN</t>
  </si>
  <si>
    <t>ANTIPROLIFERANTS</t>
  </si>
  <si>
    <t>PANZYGA</t>
  </si>
  <si>
    <t>PARSABIV</t>
  </si>
  <si>
    <t>PAZOPANIB HCL</t>
  </si>
  <si>
    <t>PEDMARK</t>
  </si>
  <si>
    <t>PEGASYS</t>
  </si>
  <si>
    <t>PEMAZYRE</t>
  </si>
  <si>
    <t>PEMETREXED</t>
  </si>
  <si>
    <t>PEMETREXED DISODIUM</t>
  </si>
  <si>
    <t>PEMFEXY</t>
  </si>
  <si>
    <t>PEMRYDI RTU</t>
  </si>
  <si>
    <t>PENICILLAMINE</t>
  </si>
  <si>
    <t>PERJETA</t>
  </si>
  <si>
    <t>PERSERIS</t>
  </si>
  <si>
    <t>PHEBURANE</t>
  </si>
  <si>
    <t>PHENOXYBENZAMINE HCL</t>
  </si>
  <si>
    <t>NON-SEL.ALPHA-ADRENERGIC BLOCKING AGENTS</t>
  </si>
  <si>
    <t>PHENTERMINE HCL</t>
  </si>
  <si>
    <t>AMPHETAMINE DERIVATIVES</t>
  </si>
  <si>
    <t>PHESGO</t>
  </si>
  <si>
    <t>PHOTOFRIN</t>
  </si>
  <si>
    <t>PINK BISMUTH</t>
  </si>
  <si>
    <t>ANTIDIARRHEA AGENTS</t>
  </si>
  <si>
    <t>PIQRAY</t>
  </si>
  <si>
    <t>PIRFENIDONE</t>
  </si>
  <si>
    <t>PLEGRIDY</t>
  </si>
  <si>
    <t>PLEGRIDY PEN</t>
  </si>
  <si>
    <t>PLERIXAFOR</t>
  </si>
  <si>
    <t>PLUVICTO</t>
  </si>
  <si>
    <t>RADIOACTIVE AGENTS</t>
  </si>
  <si>
    <t>POLIVY</t>
  </si>
  <si>
    <t>POMALYST</t>
  </si>
  <si>
    <t>POMBILITI</t>
  </si>
  <si>
    <t>PORTRAZZA</t>
  </si>
  <si>
    <t>POTELIGEO</t>
  </si>
  <si>
    <t>PRALATREXATE</t>
  </si>
  <si>
    <t>PRAXBIND</t>
  </si>
  <si>
    <t>ANTIHEMORRHAGIC AGENTS, MISCELLANEOUS</t>
  </si>
  <si>
    <t>PREGNYL</t>
  </si>
  <si>
    <t>PRIVIGEN</t>
  </si>
  <si>
    <t>PROBUPHINE</t>
  </si>
  <si>
    <t>OPIOID PARTIAL AGONISTS</t>
  </si>
  <si>
    <t>PROCRIT</t>
  </si>
  <si>
    <t>PROCYSBI</t>
  </si>
  <si>
    <t>PROFILNINE</t>
  </si>
  <si>
    <t>PROGRAF</t>
  </si>
  <si>
    <t>PROLASTIN C</t>
  </si>
  <si>
    <t>PROLEUKIN</t>
  </si>
  <si>
    <t>PROLIA</t>
  </si>
  <si>
    <t>PROMACTA</t>
  </si>
  <si>
    <t>PROPOFOL</t>
  </si>
  <si>
    <t>PROVENGE</t>
  </si>
  <si>
    <t>PSEUDOEPHEDRINE ER</t>
  </si>
  <si>
    <t>PULMOZYME</t>
  </si>
  <si>
    <t>MUCOLYTIC AGENTS</t>
  </si>
  <si>
    <t>PURIXAN</t>
  </si>
  <si>
    <t>PYRIMETHAMINE</t>
  </si>
  <si>
    <t>PYRUKYND</t>
  </si>
  <si>
    <t>QALSODY</t>
  </si>
  <si>
    <t>QINLOCK</t>
  </si>
  <si>
    <t>RADICAVA</t>
  </si>
  <si>
    <t>RADICAVA ORS</t>
  </si>
  <si>
    <t>RAPAMUNE</t>
  </si>
  <si>
    <t>MTOR INHIBITORS, MISCELLANEOUS</t>
  </si>
  <si>
    <t>RAVICTI</t>
  </si>
  <si>
    <t>REBIF</t>
  </si>
  <si>
    <t>REBIF REBIDOSE</t>
  </si>
  <si>
    <t>REBINYN</t>
  </si>
  <si>
    <t>REBLOZYL</t>
  </si>
  <si>
    <t>REBYOTA</t>
  </si>
  <si>
    <t>RECOMBINATE</t>
  </si>
  <si>
    <t>RECORLEV</t>
  </si>
  <si>
    <t>REDITREX</t>
  </si>
  <si>
    <t>REFRESH CLASSIC</t>
  </si>
  <si>
    <t>RELEUKO</t>
  </si>
  <si>
    <t>RELYVRIO</t>
  </si>
  <si>
    <t>REMICADE</t>
  </si>
  <si>
    <t>REMODULIN</t>
  </si>
  <si>
    <t>RETACRIT</t>
  </si>
  <si>
    <t>RETEVMO</t>
  </si>
  <si>
    <t>REVATIO</t>
  </si>
  <si>
    <t>REVCOVI</t>
  </si>
  <si>
    <t>REVLIMID</t>
  </si>
  <si>
    <t>REZDIFFRA</t>
  </si>
  <si>
    <t>THYROID AGENTS</t>
  </si>
  <si>
    <t>REZLIDHIA</t>
  </si>
  <si>
    <t>RIABNI</t>
  </si>
  <si>
    <t>RINVOQ</t>
  </si>
  <si>
    <t>RINVOQ LQ</t>
  </si>
  <si>
    <t>RISPERDAL CONSTA</t>
  </si>
  <si>
    <t>RISPERIDONE ER</t>
  </si>
  <si>
    <t>RITUXAN</t>
  </si>
  <si>
    <t>RITUXAN HYCELA</t>
  </si>
  <si>
    <t>RIVFLOZA</t>
  </si>
  <si>
    <t>RIXUBIS</t>
  </si>
  <si>
    <t>ROCTAVIAN</t>
  </si>
  <si>
    <t>ROCURONIUM BROMIDE</t>
  </si>
  <si>
    <t>NEUROMUSCULAR BLOCKING AGENTS</t>
  </si>
  <si>
    <t>ROLVEDON</t>
  </si>
  <si>
    <t>ROMIDEPSIN</t>
  </si>
  <si>
    <t>ROPIVACAINE HCL</t>
  </si>
  <si>
    <t>ROZLYTREK</t>
  </si>
  <si>
    <t>RUBRACA</t>
  </si>
  <si>
    <t>RUCONEST</t>
  </si>
  <si>
    <t>RUXIENCE</t>
  </si>
  <si>
    <t>RUZURGI</t>
  </si>
  <si>
    <t>RYBREVANT</t>
  </si>
  <si>
    <t>RYDAPT</t>
  </si>
  <si>
    <t>RYKINDO</t>
  </si>
  <si>
    <t>RYLAZE</t>
  </si>
  <si>
    <t>RYPLAZIM</t>
  </si>
  <si>
    <t>RYSTIGGO</t>
  </si>
  <si>
    <t>NEONATAL FC RECEPTOR BLOCKERS</t>
  </si>
  <si>
    <t>SABRIL</t>
  </si>
  <si>
    <t>SAIZEN</t>
  </si>
  <si>
    <t>SAIZEN-SAIZENPREP</t>
  </si>
  <si>
    <t>SAMSCA</t>
  </si>
  <si>
    <t>SANDIMMUNE</t>
  </si>
  <si>
    <t>SANDOSTATIN</t>
  </si>
  <si>
    <t>SANDOSTATIN LAR DEPOT</t>
  </si>
  <si>
    <t>SAPROPTERIN DIHYDROCHLORIDE</t>
  </si>
  <si>
    <t>SARCLISA</t>
  </si>
  <si>
    <t>SCEMBLIX</t>
  </si>
  <si>
    <t>SCENESSE</t>
  </si>
  <si>
    <t>MELANOCORTIN RECEPTOR ANTAGONISTS</t>
  </si>
  <si>
    <t>SENNA</t>
  </si>
  <si>
    <t>SENSIPAR</t>
  </si>
  <si>
    <t>SEROSTIM</t>
  </si>
  <si>
    <t>SEVENFACT</t>
  </si>
  <si>
    <t>SIGNIFOR</t>
  </si>
  <si>
    <t>SIGNIFOR LAR</t>
  </si>
  <si>
    <t>SILDENAFIL CITRATE</t>
  </si>
  <si>
    <t>SILIQ</t>
  </si>
  <si>
    <t>SIMETHICONE</t>
  </si>
  <si>
    <t>SIMLANDI(CF) AUTOINJECTOR</t>
  </si>
  <si>
    <t>SIMPONI</t>
  </si>
  <si>
    <t>SIMPONI ARIA</t>
  </si>
  <si>
    <t>SIMULECT</t>
  </si>
  <si>
    <t>INTERLEUKIN INHIBITOR AGENTS, MISC</t>
  </si>
  <si>
    <t>SIROLIMUS</t>
  </si>
  <si>
    <t>SITAGLIPTIN</t>
  </si>
  <si>
    <t>SKIN-PREP</t>
  </si>
  <si>
    <t>SKYCLARYS</t>
  </si>
  <si>
    <t>SKYRIZI</t>
  </si>
  <si>
    <t>SKYRIZI (2 SYRINGES) KIT</t>
  </si>
  <si>
    <t>SKYRIZI ON-BODY</t>
  </si>
  <si>
    <t>SKYRIZI PEN</t>
  </si>
  <si>
    <t>SKYSONA</t>
  </si>
  <si>
    <t>SKYTROFA</t>
  </si>
  <si>
    <t>SLOWMAG</t>
  </si>
  <si>
    <t>SODIUM BICARBONATE</t>
  </si>
  <si>
    <t>ALKALINIZING AGENTS</t>
  </si>
  <si>
    <t>SODIUM OXYBATE</t>
  </si>
  <si>
    <t>SOFOSBUVIR-VELPATASVIR</t>
  </si>
  <si>
    <t>SOGROYA</t>
  </si>
  <si>
    <t>SOHONOS</t>
  </si>
  <si>
    <t>SOLESTA</t>
  </si>
  <si>
    <t>SOLIRIS</t>
  </si>
  <si>
    <t>SOMATULINE DEPOT</t>
  </si>
  <si>
    <t>SOMAVERT</t>
  </si>
  <si>
    <t>SOMATOTROPIN ANTAGONISTS</t>
  </si>
  <si>
    <t>SORAFENIB</t>
  </si>
  <si>
    <t>SORE THROAT-COUGH</t>
  </si>
  <si>
    <t>LOCAL ANESTHETICS (EENT)</t>
  </si>
  <si>
    <t>SOTYKTU</t>
  </si>
  <si>
    <t>SOVALDI</t>
  </si>
  <si>
    <t>SPEVIGO</t>
  </si>
  <si>
    <t>SPINRAZA</t>
  </si>
  <si>
    <t>SPRAVATO</t>
  </si>
  <si>
    <t>NMDA ANTAGONISTS</t>
  </si>
  <si>
    <t>SPRYCEL</t>
  </si>
  <si>
    <t>STELARA</t>
  </si>
  <si>
    <t>STERILE EMPTY 10 ML VIAL</t>
  </si>
  <si>
    <t>STIMUFEND</t>
  </si>
  <si>
    <t>STIVARGA</t>
  </si>
  <si>
    <t>STRENSIQ</t>
  </si>
  <si>
    <t>SUBLOCADE</t>
  </si>
  <si>
    <t>SUCCINYLCHOLINE CHLORIDE</t>
  </si>
  <si>
    <t>SUCRAID</t>
  </si>
  <si>
    <t>SUNITINIB MALATE</t>
  </si>
  <si>
    <t>SUPPRELIN LA</t>
  </si>
  <si>
    <t>SUSVIMO</t>
  </si>
  <si>
    <t>SUSVIMO IMPLNT AND INSERT TOOL</t>
  </si>
  <si>
    <t>SUTENT</t>
  </si>
  <si>
    <t>SYLVANT</t>
  </si>
  <si>
    <t>SYMDEKO</t>
  </si>
  <si>
    <t>SYNAGIS</t>
  </si>
  <si>
    <t>MONOCLONAL ANTIBODIES (08:18)</t>
  </si>
  <si>
    <t>SYNAREL</t>
  </si>
  <si>
    <t>SYNOJOYNT</t>
  </si>
  <si>
    <t>SYNRIBO</t>
  </si>
  <si>
    <t>TABLOID</t>
  </si>
  <si>
    <t>TABRECTA</t>
  </si>
  <si>
    <t>TACROLIMUS</t>
  </si>
  <si>
    <t>TADLIQ</t>
  </si>
  <si>
    <t>TAFINLAR</t>
  </si>
  <si>
    <t>TAGRISSO</t>
  </si>
  <si>
    <t>TAKHZYRO</t>
  </si>
  <si>
    <t>TALTZ AUTOINJECTOR</t>
  </si>
  <si>
    <t>TALTZ AUTOINJECTOR (2 PACK)</t>
  </si>
  <si>
    <t>TALTZ AUTOINJECTOR (3 PACK)</t>
  </si>
  <si>
    <t>TALTZ SYRINGE</t>
  </si>
  <si>
    <t>TALVEY</t>
  </si>
  <si>
    <t>TALZENNA</t>
  </si>
  <si>
    <t>TARCEVA</t>
  </si>
  <si>
    <t>TARGRETIN</t>
  </si>
  <si>
    <t>TARPEYO</t>
  </si>
  <si>
    <t>TASCENSO ODT</t>
  </si>
  <si>
    <t>TASIGNA</t>
  </si>
  <si>
    <t>TAVALISSE</t>
  </si>
  <si>
    <t>TAVNEOS</t>
  </si>
  <si>
    <t>TAZVERIK</t>
  </si>
  <si>
    <t>TECARTUS</t>
  </si>
  <si>
    <t>TECELRA</t>
  </si>
  <si>
    <t>TECENTRIQ</t>
  </si>
  <si>
    <t>TECENTRIQ HYBREZA</t>
  </si>
  <si>
    <t>TECFIDERA</t>
  </si>
  <si>
    <t>TECVAYLI</t>
  </si>
  <si>
    <t>TEGLUTIK</t>
  </si>
  <si>
    <t>TEGSEDI</t>
  </si>
  <si>
    <t>TEMODAR</t>
  </si>
  <si>
    <t>TEMOZOLOMIDE</t>
  </si>
  <si>
    <t>TEMSIROLIMUS</t>
  </si>
  <si>
    <t>TEPADINA</t>
  </si>
  <si>
    <t>TEPEZZA</t>
  </si>
  <si>
    <t>TEPMETKO</t>
  </si>
  <si>
    <t>TERIFLUNOMIDE</t>
  </si>
  <si>
    <t>TERIPARATIDE</t>
  </si>
  <si>
    <t>TETRABENAZINE</t>
  </si>
  <si>
    <t>TEVIMBRA</t>
  </si>
  <si>
    <t>TEZSPIRE</t>
  </si>
  <si>
    <t>THALOMID</t>
  </si>
  <si>
    <t>THERA-VITE MAX-M</t>
  </si>
  <si>
    <t>THIOLA</t>
  </si>
  <si>
    <t>THIOLA EC</t>
  </si>
  <si>
    <t>THIOTEPA</t>
  </si>
  <si>
    <t>THYMOGLOBULIN</t>
  </si>
  <si>
    <t>THYROGEN</t>
  </si>
  <si>
    <t>THYROID FUNCTION</t>
  </si>
  <si>
    <t>TIBSOVO</t>
  </si>
  <si>
    <t>TIGLUTIK</t>
  </si>
  <si>
    <t>TIOPRONIN</t>
  </si>
  <si>
    <t>TIROFIBAN HCL</t>
  </si>
  <si>
    <t>TIVDAK</t>
  </si>
  <si>
    <t>TOBI PODHALER</t>
  </si>
  <si>
    <t>TOBRAMYCIN</t>
  </si>
  <si>
    <t>TOFIDENCE</t>
  </si>
  <si>
    <t>TOLNAFTATE</t>
  </si>
  <si>
    <t>THIOCARBAMATES(SKIN AND MUCOUS MEMBRANE)</t>
  </si>
  <si>
    <t>TOLVAPTAN</t>
  </si>
  <si>
    <t>TOPOTECAN HCL</t>
  </si>
  <si>
    <t>TOREMIFENE CITRATE</t>
  </si>
  <si>
    <t>TORISEL</t>
  </si>
  <si>
    <t>TRACLEER</t>
  </si>
  <si>
    <t>TRAZIMERA</t>
  </si>
  <si>
    <t>TREANDA</t>
  </si>
  <si>
    <t>TRELSTAR</t>
  </si>
  <si>
    <t>TREMFYA</t>
  </si>
  <si>
    <t>TREMFYA PEN</t>
  </si>
  <si>
    <t>TREPROSTINIL</t>
  </si>
  <si>
    <t>TRETINOIN</t>
  </si>
  <si>
    <t>TRETTEN</t>
  </si>
  <si>
    <t>TRIAMCINOLONE ACETONIDE</t>
  </si>
  <si>
    <t>TRIENTINE HCL</t>
  </si>
  <si>
    <t>TRIKAFTA</t>
  </si>
  <si>
    <t>TRIPLE PASTE AF</t>
  </si>
  <si>
    <t>TRIPTODUR</t>
  </si>
  <si>
    <t>TRISENOX</t>
  </si>
  <si>
    <t>TRODELVY</t>
  </si>
  <si>
    <t>TRUE METRIX AIR GLUCOSE METER</t>
  </si>
  <si>
    <t>TRUE METRIX BLOOD GLUCOSE MTR</t>
  </si>
  <si>
    <t>TRUSELTIQ</t>
  </si>
  <si>
    <t>TRUXIMA</t>
  </si>
  <si>
    <t>TUKYSA</t>
  </si>
  <si>
    <t>TURALIO</t>
  </si>
  <si>
    <t>TUSNEL-EX</t>
  </si>
  <si>
    <t>TYBLUME</t>
  </si>
  <si>
    <t>CONTRACEPTIVES</t>
  </si>
  <si>
    <t>TYENNE</t>
  </si>
  <si>
    <t>TYENNE AUTOINJECTOR</t>
  </si>
  <si>
    <t>TYKERB</t>
  </si>
  <si>
    <t>TYMLOS</t>
  </si>
  <si>
    <t>TYSABRI</t>
  </si>
  <si>
    <t>TYVASO</t>
  </si>
  <si>
    <t>TYVASO DPI</t>
  </si>
  <si>
    <t>TYVASO INSTITUTIONAL START KIT</t>
  </si>
  <si>
    <t>TYVASO REFILL KIT</t>
  </si>
  <si>
    <t>TYVASO STARTER KIT</t>
  </si>
  <si>
    <t>UDENYCA</t>
  </si>
  <si>
    <t>UDENYCA AUTOINJECTOR</t>
  </si>
  <si>
    <t>UDENYCA ONBODY</t>
  </si>
  <si>
    <t>UKONIQ</t>
  </si>
  <si>
    <t>ULTICARE INSULIN SYRINGE</t>
  </si>
  <si>
    <t>ULTICARE PEN NEEDLE</t>
  </si>
  <si>
    <t>ULTIGUARD SAFEPACK-PEN NEEDLE</t>
  </si>
  <si>
    <t>ULTOMIRIS</t>
  </si>
  <si>
    <t>UNITUXIN</t>
  </si>
  <si>
    <t>UPLIZNA</t>
  </si>
  <si>
    <t>UPTRAVI</t>
  </si>
  <si>
    <t>VABYSMO</t>
  </si>
  <si>
    <t>VALCHLOR</t>
  </si>
  <si>
    <t>VALSTAR</t>
  </si>
  <si>
    <t>VANFLYTA</t>
  </si>
  <si>
    <t>VANTAS</t>
  </si>
  <si>
    <t>VARDENAFIL HCL</t>
  </si>
  <si>
    <t>PHOSPHODIESTERASE TYPE 5 INHIBITORS</t>
  </si>
  <si>
    <t>VARITHENA</t>
  </si>
  <si>
    <t>SCLEROSING AGENTS</t>
  </si>
  <si>
    <t>VECTIBIX</t>
  </si>
  <si>
    <t>VEGZELMA</t>
  </si>
  <si>
    <t>VELCADE</t>
  </si>
  <si>
    <t>VELETRI</t>
  </si>
  <si>
    <t>VELSIPITY</t>
  </si>
  <si>
    <t>VEMLIDY</t>
  </si>
  <si>
    <t>VENCLEXTA</t>
  </si>
  <si>
    <t>VENCLEXTA STARTING PACK</t>
  </si>
  <si>
    <t>VENTAVIS</t>
  </si>
  <si>
    <t>PROSTACYCLIN &amp; PROSTACYCLIN DERIVATIVES</t>
  </si>
  <si>
    <t>VEOPOZ</t>
  </si>
  <si>
    <t>VERZENIO</t>
  </si>
  <si>
    <t>VIDAZA</t>
  </si>
  <si>
    <t>VIGABATRIN</t>
  </si>
  <si>
    <t>VIGADRONE</t>
  </si>
  <si>
    <t>VIGAFYDE</t>
  </si>
  <si>
    <t>VIGPODER</t>
  </si>
  <si>
    <t>VIJOICE</t>
  </si>
  <si>
    <t>VILTEPSO</t>
  </si>
  <si>
    <t>VIMIZIM</t>
  </si>
  <si>
    <t>VINBLASTINE SULFATE</t>
  </si>
  <si>
    <t>VINORELBINE TARTRATE</t>
  </si>
  <si>
    <t>VISTOGARD</t>
  </si>
  <si>
    <t>FLUOROPYRIMIDINE ANTIDOTE</t>
  </si>
  <si>
    <t>VISUDYNE</t>
  </si>
  <si>
    <t>VITAMIN B-6</t>
  </si>
  <si>
    <t>VITAMIN D3</t>
  </si>
  <si>
    <t>VITAMIN D</t>
  </si>
  <si>
    <t>VITRAKVI</t>
  </si>
  <si>
    <t>VIVELLE-DOT</t>
  </si>
  <si>
    <t>ESTROGENS</t>
  </si>
  <si>
    <t>VIVIMUSTA</t>
  </si>
  <si>
    <t>VIVITROL</t>
  </si>
  <si>
    <t>OPIOID ANTAGONISTS (28:10)</t>
  </si>
  <si>
    <t>VIZIMPRO</t>
  </si>
  <si>
    <t>VONJO</t>
  </si>
  <si>
    <t>VONVENDI</t>
  </si>
  <si>
    <t>VORAXAZE</t>
  </si>
  <si>
    <t>VOSEVI</t>
  </si>
  <si>
    <t>VOTRIENT</t>
  </si>
  <si>
    <t>VOWST</t>
  </si>
  <si>
    <t>VOXZOGO</t>
  </si>
  <si>
    <t>VOYDEYA</t>
  </si>
  <si>
    <t>COMPLEMENT INHIBITORS</t>
  </si>
  <si>
    <t>VPRIV</t>
  </si>
  <si>
    <t>VUMERITY</t>
  </si>
  <si>
    <t>VYJUVEK</t>
  </si>
  <si>
    <t>VYNDAMAX</t>
  </si>
  <si>
    <t>VYNDAQEL</t>
  </si>
  <si>
    <t>VYONDYS-53</t>
  </si>
  <si>
    <t>VYVGART</t>
  </si>
  <si>
    <t>VYVGART HYTRULO</t>
  </si>
  <si>
    <t>VYXEOS</t>
  </si>
  <si>
    <t>WAINUA</t>
  </si>
  <si>
    <t>WAKIX</t>
  </si>
  <si>
    <t>WELIREG</t>
  </si>
  <si>
    <t>WILATE</t>
  </si>
  <si>
    <t>WINREVAIR</t>
  </si>
  <si>
    <t>WINRHO SDF</t>
  </si>
  <si>
    <t>XALKORI</t>
  </si>
  <si>
    <t>XANAX XR</t>
  </si>
  <si>
    <t>XATMEP</t>
  </si>
  <si>
    <t>XELJANZ</t>
  </si>
  <si>
    <t>XELJANZ XR</t>
  </si>
  <si>
    <t>XELODA</t>
  </si>
  <si>
    <t>XEMBIFY</t>
  </si>
  <si>
    <t>XENAZINE</t>
  </si>
  <si>
    <t>XENPOZYME</t>
  </si>
  <si>
    <t>XEOMIN</t>
  </si>
  <si>
    <t>XERMELO</t>
  </si>
  <si>
    <t>XGEVA</t>
  </si>
  <si>
    <t>XIAFLEX</t>
  </si>
  <si>
    <t>XIPERE</t>
  </si>
  <si>
    <t>XOFIGO</t>
  </si>
  <si>
    <t>XOLAIR</t>
  </si>
  <si>
    <t>XOSPATA</t>
  </si>
  <si>
    <t>XPOVIO</t>
  </si>
  <si>
    <t>XTANDI</t>
  </si>
  <si>
    <t>XURIDEN</t>
  </si>
  <si>
    <t>XYLOCAINE WITH EPINEPHRINE</t>
  </si>
  <si>
    <t>XYNTHA</t>
  </si>
  <si>
    <t>XYNTHA SOLOFUSE</t>
  </si>
  <si>
    <t>XYREM</t>
  </si>
  <si>
    <t>XYWAV</t>
  </si>
  <si>
    <t>YARGESA</t>
  </si>
  <si>
    <t>YCANTH</t>
  </si>
  <si>
    <t>YERVOY</t>
  </si>
  <si>
    <t>YESCARTA</t>
  </si>
  <si>
    <t>YONDELIS</t>
  </si>
  <si>
    <t>YONSA</t>
  </si>
  <si>
    <t>YUFLYMA(CF)</t>
  </si>
  <si>
    <t>YUFLYMA(CF) AI CROHN'S-UC-HS</t>
  </si>
  <si>
    <t>YUFLYMA(CF) AUTOINJECT (2 PCK)</t>
  </si>
  <si>
    <t>YUFLYMA(CF) AUTOINJECTOR</t>
  </si>
  <si>
    <t>YUSIMRY(CF) PEN</t>
  </si>
  <si>
    <t>YUTIQ</t>
  </si>
  <si>
    <t>ZALTRAP</t>
  </si>
  <si>
    <t>ZANOSAR</t>
  </si>
  <si>
    <t>ZARXIO</t>
  </si>
  <si>
    <t>ZAVESCA</t>
  </si>
  <si>
    <t>ZEJULA</t>
  </si>
  <si>
    <t>ZELAPAR</t>
  </si>
  <si>
    <t>MONOAMINE OXIDASE B INHIBITORS</t>
  </si>
  <si>
    <t>ZELBORAF</t>
  </si>
  <si>
    <t>ZEMAIRA</t>
  </si>
  <si>
    <t>ZEPATIER</t>
  </si>
  <si>
    <t>HCV REPLICATION COMPLEX INHIBITORS</t>
  </si>
  <si>
    <t>ZEPOSIA</t>
  </si>
  <si>
    <t>ZEPZELCA</t>
  </si>
  <si>
    <t>ZEVALIN</t>
  </si>
  <si>
    <t>ZIEXTENZO</t>
  </si>
  <si>
    <t>ZILBRYSQ</t>
  </si>
  <si>
    <t>COMPLEMENT INHIBITORS (90:08)</t>
  </si>
  <si>
    <t>ZINC CHELATED</t>
  </si>
  <si>
    <t>ZIRABEV</t>
  </si>
  <si>
    <t>ZOKINVY</t>
  </si>
  <si>
    <t>ZOLADEX</t>
  </si>
  <si>
    <t>ZOLEDRONIC ACID</t>
  </si>
  <si>
    <t>BONE RESORPTION INHIBITORS</t>
  </si>
  <si>
    <t>ZOLGENSMA</t>
  </si>
  <si>
    <t>ZOLINZA</t>
  </si>
  <si>
    <t>ZOLOFT</t>
  </si>
  <si>
    <t>SELECTIVE-SEROTONIN REUPTAKE INHIBITORS</t>
  </si>
  <si>
    <t>ZOMACTON</t>
  </si>
  <si>
    <t>ZORBTIVE</t>
  </si>
  <si>
    <t>ZORTRESS</t>
  </si>
  <si>
    <t>ZORYVE</t>
  </si>
  <si>
    <t>PHOSPHODIESTERASE-4 INHIBITORS (84:06)</t>
  </si>
  <si>
    <t>ZTALMY</t>
  </si>
  <si>
    <t>ZYDELIG</t>
  </si>
  <si>
    <t>ZYKADIA</t>
  </si>
  <si>
    <t>ZYMFENTRA</t>
  </si>
  <si>
    <t>ZYMFENTRA (2 PENS)</t>
  </si>
  <si>
    <t>ZYMFENTRA (2 SYRINGES)</t>
  </si>
  <si>
    <t>ZYNLONTA</t>
  </si>
  <si>
    <t>ZYNTEGLO</t>
  </si>
  <si>
    <t>ZYNYZ</t>
  </si>
  <si>
    <t>ZYPREXA RELPREVV</t>
  </si>
  <si>
    <t>ZYTIGA</t>
  </si>
  <si>
    <t>zip based factors may be applied if individual school experience is not 100% credible</t>
  </si>
  <si>
    <t>not utilized</t>
  </si>
  <si>
    <t>school specific experience is utilized if available but we do not utilize specific "Health Status Factors"</t>
  </si>
  <si>
    <t>cost sharing factors are utilized</t>
  </si>
  <si>
    <t>The Student Health market is mostly Fully Experience Rated with some Part Experience Rated</t>
  </si>
  <si>
    <t>We do not have Capitation arrangements. No "Other…." since everything was allocated to one of the main service categories.</t>
  </si>
  <si>
    <t>Changes in Plan cost sharing are very minimal and did not contribute materially to the rate changes.</t>
  </si>
  <si>
    <t>The prior year's weighted average aggregate AV was 89.3% and this year it is 86.6%.</t>
  </si>
  <si>
    <t>The proportional distribution of aggregate claim costs over the service categories listed above did not change materially from that which is shown in other parts of this report.</t>
  </si>
  <si>
    <t>With regard to student health coverage, we are not projecting savings from any new cost containment and quality improvement efforts.</t>
  </si>
  <si>
    <t>Not applicable to our student health coverage.</t>
  </si>
  <si>
    <t>This workbook is for Student policies offered in California.</t>
  </si>
  <si>
    <t>Express Scripts, Inc.</t>
  </si>
  <si>
    <t>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</si>
</sst>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_(* #,##0_);_(* \(#,##0\);_(* &quot;-&quot;??_);_(@_)"/>
  </numFmts>
  <fonts count="29" x14ac:knownFonts="1">
    <font>
      <sz val="12"/>
      <color theme="1"/>
      <name val="Arial"/>
      <family val="2"/>
    </font>
    <font>
      <sz val="12"/>
      <color theme="1"/>
      <name val="Arial"/>
      <family val="2"/>
    </font>
    <font>
      <b/>
      <sz val="12"/>
      <color theme="1"/>
      <name val="Arial"/>
      <family val="2"/>
    </font>
    <font>
      <vertAlign val="superscript"/>
      <sz val="12"/>
      <color theme="1"/>
      <name val="Arial"/>
      <family val="2"/>
    </font>
    <font>
      <b/>
      <u/>
      <sz val="14"/>
      <color theme="1"/>
      <name val="Arial"/>
      <family val="2"/>
    </font>
    <font>
      <sz val="11"/>
      <color theme="1"/>
      <name val="Calibri"/>
      <family val="2"/>
      <scheme val="minor"/>
    </font>
    <font>
      <b/>
      <sz val="12"/>
      <name val="Arial"/>
      <family val="2"/>
    </font>
    <font>
      <sz val="12"/>
      <name val="Arial"/>
      <family val="2"/>
    </font>
    <font>
      <sz val="11"/>
      <name val="Arial"/>
      <family val="2"/>
    </font>
    <font>
      <sz val="10"/>
      <name val="Arial"/>
      <family val="2"/>
    </font>
    <font>
      <u/>
      <sz val="12"/>
      <color theme="10"/>
      <name val="Arial"/>
      <family val="2"/>
    </font>
    <font>
      <b/>
      <i/>
      <sz val="12"/>
      <color theme="1"/>
      <name val="Arial"/>
      <family val="2"/>
    </font>
    <font>
      <b/>
      <i/>
      <vertAlign val="superscript"/>
      <sz val="12"/>
      <color theme="1"/>
      <name val="Arial"/>
      <family val="2"/>
    </font>
    <font>
      <i/>
      <sz val="12"/>
      <color theme="1"/>
      <name val="Arial"/>
      <family val="2"/>
    </font>
    <font>
      <i/>
      <vertAlign val="superscript"/>
      <sz val="12"/>
      <color theme="1"/>
      <name val="Arial"/>
      <family val="2"/>
    </font>
    <font>
      <b/>
      <i/>
      <sz val="12"/>
      <name val="Arial"/>
      <family val="2"/>
    </font>
    <font>
      <sz val="12"/>
      <color rgb="FF000000"/>
      <name val="Arial"/>
      <family val="2"/>
    </font>
    <font>
      <b/>
      <sz val="12"/>
      <name val="Times New Roman"/>
      <family val="1"/>
    </font>
    <font>
      <sz val="10"/>
      <color rgb="FFFFFF00"/>
      <name val="Arial"/>
      <family val="2"/>
    </font>
    <font>
      <i/>
      <sz val="10"/>
      <name val="Arial"/>
      <family val="2"/>
    </font>
    <font>
      <sz val="12"/>
      <color rgb="FFFFFF00"/>
      <name val="Arial"/>
      <family val="2"/>
    </font>
    <font>
      <i/>
      <sz val="12"/>
      <name val="Arial"/>
      <family val="2"/>
    </font>
    <font>
      <b/>
      <sz val="12"/>
      <color rgb="FFC00000"/>
      <name val="Arial"/>
      <family val="2"/>
    </font>
    <font>
      <b/>
      <sz val="12"/>
      <color rgb="FFFF0000"/>
      <name val="Arial"/>
      <family val="2"/>
    </font>
    <font>
      <sz val="8"/>
      <color rgb="FF000000"/>
      <name val="Tahoma"/>
      <family val="2"/>
    </font>
    <font>
      <sz val="11"/>
      <color theme="1"/>
      <name val="Calibri"/>
      <family val="2"/>
    </font>
    <font>
      <u/>
      <sz val="12"/>
      <color theme="1"/>
      <name val="Arial"/>
      <family val="2"/>
    </font>
    <font>
      <sz val="12"/>
      <color theme="4"/>
      <name val="Arial"/>
      <family val="2"/>
    </font>
    <font>
      <b/>
      <sz val="12"/>
      <color rgb="FF000000"/>
      <name val="Arial"/>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1"/>
        <bgColor indexed="64"/>
      </patternFill>
    </fill>
    <fill>
      <patternFill patternType="solid">
        <fgColor theme="8"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0" fontId="5" fillId="0" borderId="0"/>
    <xf numFmtId="0" fontId="9" fillId="0" borderId="0"/>
    <xf numFmtId="0" fontId="10" fillId="0" borderId="0" applyNumberFormat="0" applyFill="0" applyBorder="0" applyAlignment="0" applyProtection="0"/>
    <xf numFmtId="44" fontId="9" fillId="0" borderId="0" applyFont="0" applyFill="0" applyBorder="0" applyAlignment="0" applyProtection="0"/>
    <xf numFmtId="0" fontId="9"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cellStyleXfs>
  <cellXfs count="395">
    <xf numFmtId="0" fontId="0" fillId="0" borderId="0" xfId="0"/>
    <xf numFmtId="0" fontId="0" fillId="0" borderId="1" xfId="0" applyBorder="1" applyAlignment="1">
      <alignment horizontal="left" vertical="top" wrapText="1"/>
    </xf>
    <xf numFmtId="0" fontId="0" fillId="0" borderId="1" xfId="0" applyBorder="1" applyAlignment="1">
      <alignment horizontal="left" vertical="top"/>
    </xf>
    <xf numFmtId="0" fontId="6" fillId="0" borderId="0" xfId="3" applyFont="1"/>
    <xf numFmtId="0" fontId="10" fillId="0" borderId="0" xfId="5"/>
    <xf numFmtId="0" fontId="9" fillId="0" borderId="0" xfId="0" applyFont="1" applyProtection="1">
      <protection locked="0"/>
    </xf>
    <xf numFmtId="49" fontId="9" fillId="0" borderId="0" xfId="0" applyNumberFormat="1" applyFont="1" applyProtection="1">
      <protection locked="0"/>
    </xf>
    <xf numFmtId="0" fontId="6" fillId="0" borderId="0" xfId="0" applyFont="1" applyProtection="1">
      <protection locked="0"/>
    </xf>
    <xf numFmtId="0" fontId="7" fillId="0" borderId="0" xfId="0" applyFont="1" applyProtection="1">
      <protection locked="0"/>
    </xf>
    <xf numFmtId="0" fontId="7" fillId="2" borderId="33" xfId="0" applyFont="1" applyFill="1" applyBorder="1" applyAlignment="1" applyProtection="1">
      <alignment horizontal="center" vertical="top"/>
      <protection locked="0"/>
    </xf>
    <xf numFmtId="0" fontId="7" fillId="2" borderId="6" xfId="0" applyFont="1" applyFill="1" applyBorder="1" applyAlignment="1" applyProtection="1">
      <alignment horizontal="center" vertical="top"/>
      <protection locked="0"/>
    </xf>
    <xf numFmtId="0" fontId="7" fillId="2" borderId="34" xfId="0" applyFont="1" applyFill="1" applyBorder="1" applyAlignment="1" applyProtection="1">
      <alignment horizontal="center" vertical="top"/>
      <protection locked="0"/>
    </xf>
    <xf numFmtId="38" fontId="7" fillId="5" borderId="38" xfId="6" applyNumberFormat="1" applyFont="1" applyFill="1" applyBorder="1" applyAlignment="1" applyProtection="1">
      <alignment horizontal="right" vertical="top"/>
      <protection locked="0"/>
    </xf>
    <xf numFmtId="38" fontId="7" fillId="5" borderId="0" xfId="6" applyNumberFormat="1" applyFont="1" applyFill="1" applyBorder="1" applyAlignment="1" applyProtection="1">
      <alignment horizontal="right" vertical="top"/>
      <protection locked="0"/>
    </xf>
    <xf numFmtId="38" fontId="7" fillId="5" borderId="14" xfId="6" applyNumberFormat="1" applyFont="1" applyFill="1" applyBorder="1" applyAlignment="1" applyProtection="1">
      <alignment horizontal="right" vertical="top"/>
      <protection locked="0"/>
    </xf>
    <xf numFmtId="38" fontId="7" fillId="2" borderId="41" xfId="6" applyNumberFormat="1" applyFont="1" applyFill="1" applyBorder="1" applyAlignment="1" applyProtection="1">
      <alignment horizontal="right" vertical="top"/>
      <protection locked="0"/>
    </xf>
    <xf numFmtId="38" fontId="7" fillId="2" borderId="29" xfId="6" applyNumberFormat="1" applyFont="1" applyFill="1" applyBorder="1" applyAlignment="1" applyProtection="1">
      <alignment horizontal="right" vertical="top"/>
      <protection locked="0"/>
    </xf>
    <xf numFmtId="38" fontId="7" fillId="2" borderId="42" xfId="6" applyNumberFormat="1" applyFont="1" applyFill="1" applyBorder="1" applyAlignment="1" applyProtection="1">
      <alignment horizontal="right" vertical="top"/>
      <protection locked="0"/>
    </xf>
    <xf numFmtId="38" fontId="7" fillId="2" borderId="38" xfId="6" applyNumberFormat="1" applyFont="1" applyFill="1" applyBorder="1" applyAlignment="1" applyProtection="1">
      <alignment horizontal="right" vertical="top"/>
      <protection locked="0"/>
    </xf>
    <xf numFmtId="38" fontId="7" fillId="2" borderId="0" xfId="6" applyNumberFormat="1" applyFont="1" applyFill="1" applyBorder="1" applyAlignment="1" applyProtection="1">
      <alignment horizontal="right" vertical="top"/>
      <protection locked="0"/>
    </xf>
    <xf numFmtId="38" fontId="7" fillId="2" borderId="14" xfId="6" applyNumberFormat="1" applyFont="1" applyFill="1" applyBorder="1" applyAlignment="1" applyProtection="1">
      <alignment horizontal="right" vertical="top"/>
      <protection locked="0"/>
    </xf>
    <xf numFmtId="0" fontId="18" fillId="0" borderId="0" xfId="0" applyFont="1" applyProtection="1">
      <protection locked="0"/>
    </xf>
    <xf numFmtId="38" fontId="7" fillId="2" borderId="43" xfId="6" applyNumberFormat="1" applyFont="1" applyFill="1" applyBorder="1" applyAlignment="1" applyProtection="1">
      <alignment horizontal="right" vertical="top"/>
      <protection locked="0"/>
    </xf>
    <xf numFmtId="38" fontId="7" fillId="5" borderId="43" xfId="6" applyNumberFormat="1" applyFont="1" applyFill="1" applyBorder="1" applyAlignment="1" applyProtection="1">
      <alignment horizontal="right" vertical="top"/>
      <protection locked="0"/>
    </xf>
    <xf numFmtId="38" fontId="7" fillId="2" borderId="44" xfId="6" applyNumberFormat="1" applyFont="1" applyFill="1" applyBorder="1" applyAlignment="1" applyProtection="1">
      <alignment horizontal="right" vertical="top"/>
      <protection locked="0"/>
    </xf>
    <xf numFmtId="0" fontId="7" fillId="0" borderId="45" xfId="0" applyFont="1" applyBorder="1" applyProtection="1">
      <protection locked="0"/>
    </xf>
    <xf numFmtId="0" fontId="9" fillId="0" borderId="35" xfId="0" applyFont="1" applyBorder="1" applyProtection="1">
      <protection locked="0"/>
    </xf>
    <xf numFmtId="0" fontId="9" fillId="0" borderId="39" xfId="0" applyFont="1" applyBorder="1" applyProtection="1">
      <protection locked="0"/>
    </xf>
    <xf numFmtId="0" fontId="7" fillId="0" borderId="41" xfId="0" applyFont="1" applyBorder="1" applyProtection="1">
      <protection locked="0"/>
    </xf>
    <xf numFmtId="38" fontId="7" fillId="2" borderId="45" xfId="6" applyNumberFormat="1" applyFont="1" applyFill="1" applyBorder="1" applyAlignment="1" applyProtection="1">
      <alignment horizontal="right" vertical="top"/>
      <protection locked="0"/>
    </xf>
    <xf numFmtId="38" fontId="7" fillId="2" borderId="6" xfId="6" applyNumberFormat="1" applyFont="1" applyFill="1" applyBorder="1" applyAlignment="1" applyProtection="1">
      <alignment horizontal="right" vertical="top"/>
      <protection locked="0"/>
    </xf>
    <xf numFmtId="38" fontId="7" fillId="2" borderId="34" xfId="6" applyNumberFormat="1" applyFont="1" applyFill="1" applyBorder="1" applyAlignment="1" applyProtection="1">
      <alignment horizontal="right" vertical="top"/>
      <protection locked="0"/>
    </xf>
    <xf numFmtId="38" fontId="7" fillId="2" borderId="46" xfId="6" applyNumberFormat="1" applyFont="1" applyFill="1" applyBorder="1" applyAlignment="1" applyProtection="1">
      <alignment horizontal="right" vertical="top"/>
      <protection locked="0"/>
    </xf>
    <xf numFmtId="38" fontId="7" fillId="5" borderId="30" xfId="6" applyNumberFormat="1" applyFont="1" applyFill="1" applyBorder="1" applyAlignment="1" applyProtection="1">
      <alignment horizontal="right" vertical="top"/>
      <protection locked="0"/>
    </xf>
    <xf numFmtId="49" fontId="7" fillId="0" borderId="0" xfId="0" applyNumberFormat="1" applyFont="1" applyProtection="1">
      <protection locked="0"/>
    </xf>
    <xf numFmtId="0" fontId="20" fillId="0" borderId="0" xfId="0" applyFont="1" applyProtection="1">
      <protection locked="0"/>
    </xf>
    <xf numFmtId="0" fontId="7" fillId="0" borderId="35" xfId="0" applyFont="1" applyBorder="1" applyProtection="1">
      <protection locked="0"/>
    </xf>
    <xf numFmtId="0" fontId="7" fillId="0" borderId="39" xfId="0" applyFont="1" applyBorder="1" applyProtection="1">
      <protection locked="0"/>
    </xf>
    <xf numFmtId="38" fontId="7" fillId="2" borderId="30" xfId="6" applyNumberFormat="1" applyFont="1" applyFill="1" applyBorder="1" applyAlignment="1" applyProtection="1">
      <alignment horizontal="right" vertical="top"/>
      <protection locked="0"/>
    </xf>
    <xf numFmtId="38" fontId="7" fillId="2" borderId="16" xfId="6" applyNumberFormat="1" applyFont="1" applyFill="1" applyBorder="1" applyAlignment="1" applyProtection="1">
      <alignment horizontal="right" vertical="top"/>
      <protection locked="0"/>
    </xf>
    <xf numFmtId="38" fontId="7" fillId="2" borderId="17" xfId="6" applyNumberFormat="1" applyFont="1" applyFill="1" applyBorder="1" applyAlignment="1" applyProtection="1">
      <alignment horizontal="right" vertical="top"/>
      <protection locked="0"/>
    </xf>
    <xf numFmtId="38" fontId="7" fillId="2" borderId="47" xfId="6" applyNumberFormat="1" applyFont="1" applyFill="1" applyBorder="1" applyAlignment="1" applyProtection="1">
      <alignment horizontal="right" vertical="top"/>
      <protection locked="0"/>
    </xf>
    <xf numFmtId="0" fontId="10" fillId="0" borderId="0" xfId="5" applyFill="1" applyBorder="1" applyAlignment="1">
      <alignment vertical="center"/>
    </xf>
    <xf numFmtId="0" fontId="10" fillId="0" borderId="0" xfId="5" applyBorder="1" applyAlignment="1" applyProtection="1">
      <alignment vertical="center"/>
      <protection locked="0"/>
    </xf>
    <xf numFmtId="0" fontId="10" fillId="0" borderId="0" xfId="5" applyBorder="1" applyAlignment="1" applyProtection="1">
      <alignment horizontal="left" vertical="center"/>
      <protection locked="0"/>
    </xf>
    <xf numFmtId="0" fontId="10" fillId="0" borderId="29" xfId="5" applyBorder="1" applyAlignment="1" applyProtection="1">
      <alignment vertical="center"/>
      <protection locked="0"/>
    </xf>
    <xf numFmtId="0" fontId="6" fillId="0" borderId="0" xfId="3" applyFont="1" applyAlignment="1">
      <alignment horizontal="left"/>
    </xf>
    <xf numFmtId="0" fontId="22" fillId="0" borderId="0" xfId="3" applyFont="1"/>
    <xf numFmtId="164" fontId="1" fillId="0" borderId="1" xfId="9" applyNumberFormat="1" applyFont="1" applyBorder="1" applyProtection="1">
      <protection locked="0"/>
    </xf>
    <xf numFmtId="8" fontId="1" fillId="0" borderId="1" xfId="9" applyNumberFormat="1" applyFont="1" applyBorder="1" applyProtection="1">
      <protection locked="0"/>
    </xf>
    <xf numFmtId="164" fontId="1" fillId="0" borderId="1" xfId="3" applyNumberFormat="1" applyFont="1" applyBorder="1" applyProtection="1">
      <protection locked="0"/>
    </xf>
    <xf numFmtId="166" fontId="1" fillId="2" borderId="1" xfId="10" applyNumberFormat="1" applyFont="1" applyFill="1" applyBorder="1" applyProtection="1">
      <protection locked="0"/>
    </xf>
    <xf numFmtId="164" fontId="1" fillId="0" borderId="1" xfId="9" applyNumberFormat="1" applyFont="1" applyBorder="1" applyAlignment="1" applyProtection="1">
      <alignment horizontal="right"/>
      <protection locked="0"/>
    </xf>
    <xf numFmtId="8" fontId="7" fillId="2" borderId="1" xfId="9" applyNumberFormat="1" applyFont="1" applyFill="1" applyBorder="1" applyAlignment="1" applyProtection="1">
      <alignment horizontal="right"/>
      <protection locked="0"/>
    </xf>
    <xf numFmtId="164" fontId="1" fillId="0" borderId="1" xfId="3" applyNumberFormat="1" applyFont="1" applyBorder="1" applyAlignment="1" applyProtection="1">
      <alignment horizontal="right"/>
      <protection locked="0"/>
    </xf>
    <xf numFmtId="0" fontId="2" fillId="0" borderId="1" xfId="0" applyFont="1" applyBorder="1" applyAlignment="1">
      <alignment horizontal="left" vertical="top" wrapText="1"/>
    </xf>
    <xf numFmtId="0" fontId="1" fillId="0" borderId="0" xfId="0" applyFont="1"/>
    <xf numFmtId="0" fontId="1" fillId="0" borderId="1" xfId="0" applyFont="1" applyBorder="1" applyAlignment="1">
      <alignment horizontal="left" vertical="top" wrapText="1"/>
    </xf>
    <xf numFmtId="0" fontId="1" fillId="0" borderId="1" xfId="0" applyFont="1" applyBorder="1" applyAlignment="1">
      <alignment vertical="top"/>
    </xf>
    <xf numFmtId="0" fontId="7" fillId="0" borderId="1" xfId="0" applyFont="1" applyBorder="1" applyAlignment="1">
      <alignment horizontal="left" vertical="top" wrapText="1"/>
    </xf>
    <xf numFmtId="0" fontId="7" fillId="0" borderId="1" xfId="0" applyFont="1" applyBorder="1" applyAlignment="1">
      <alignment vertical="top" wrapText="1"/>
    </xf>
    <xf numFmtId="0" fontId="1" fillId="0" borderId="0" xfId="0" applyFont="1" applyAlignment="1">
      <alignment vertical="top"/>
    </xf>
    <xf numFmtId="0" fontId="10" fillId="0" borderId="0" xfId="5" applyAlignment="1">
      <alignment vertical="center"/>
    </xf>
    <xf numFmtId="0" fontId="10" fillId="0" borderId="0" xfId="5" applyFill="1"/>
    <xf numFmtId="0" fontId="10" fillId="0" borderId="0" xfId="5" applyFill="1" applyAlignment="1">
      <alignment vertical="center"/>
    </xf>
    <xf numFmtId="38" fontId="7" fillId="7" borderId="38" xfId="6" applyNumberFormat="1" applyFont="1" applyFill="1" applyBorder="1" applyAlignment="1" applyProtection="1">
      <alignment horizontal="right" vertical="top"/>
    </xf>
    <xf numFmtId="38" fontId="7" fillId="7" borderId="0" xfId="6" applyNumberFormat="1" applyFont="1" applyFill="1" applyBorder="1" applyAlignment="1" applyProtection="1">
      <alignment horizontal="right" vertical="top"/>
    </xf>
    <xf numFmtId="38" fontId="7" fillId="7" borderId="14" xfId="6" applyNumberFormat="1" applyFont="1" applyFill="1" applyBorder="1" applyAlignment="1" applyProtection="1">
      <alignment horizontal="right" vertical="top"/>
    </xf>
    <xf numFmtId="165" fontId="7" fillId="7" borderId="38" xfId="1" applyNumberFormat="1" applyFont="1" applyFill="1" applyBorder="1" applyAlignment="1" applyProtection="1">
      <alignment horizontal="right" vertical="top"/>
    </xf>
    <xf numFmtId="165" fontId="7" fillId="7" borderId="0" xfId="1" applyNumberFormat="1" applyFont="1" applyFill="1" applyBorder="1" applyAlignment="1" applyProtection="1">
      <alignment horizontal="right" vertical="top"/>
    </xf>
    <xf numFmtId="165" fontId="7" fillId="7" borderId="14" xfId="1" applyNumberFormat="1" applyFont="1" applyFill="1" applyBorder="1" applyAlignment="1" applyProtection="1">
      <alignment horizontal="right" vertical="top"/>
    </xf>
    <xf numFmtId="7" fontId="1" fillId="7" borderId="1" xfId="10" applyNumberFormat="1" applyFont="1" applyFill="1" applyBorder="1" applyProtection="1"/>
    <xf numFmtId="164" fontId="1" fillId="0" borderId="1" xfId="9" applyNumberFormat="1" applyFont="1" applyFill="1" applyBorder="1" applyAlignment="1" applyProtection="1">
      <alignment horizontal="right"/>
      <protection locked="0"/>
    </xf>
    <xf numFmtId="0" fontId="7" fillId="0" borderId="0" xfId="3" applyFont="1"/>
    <xf numFmtId="0" fontId="8" fillId="0" borderId="0" xfId="3" applyFont="1"/>
    <xf numFmtId="0" fontId="7" fillId="0" borderId="5" xfId="4" applyFont="1" applyBorder="1"/>
    <xf numFmtId="0" fontId="7" fillId="0" borderId="6" xfId="4" applyFont="1" applyBorder="1"/>
    <xf numFmtId="0" fontId="7" fillId="0" borderId="7" xfId="4" applyFont="1" applyBorder="1" applyAlignment="1" applyProtection="1">
      <alignment horizontal="center"/>
      <protection locked="0"/>
    </xf>
    <xf numFmtId="0" fontId="6" fillId="0" borderId="1" xfId="4" quotePrefix="1" applyFont="1" applyBorder="1" applyAlignment="1">
      <alignment horizontal="left" vertical="center"/>
    </xf>
    <xf numFmtId="0" fontId="6" fillId="0" borderId="1" xfId="4" applyFont="1" applyBorder="1" applyAlignment="1">
      <alignment vertical="center"/>
    </xf>
    <xf numFmtId="0" fontId="7" fillId="0" borderId="1" xfId="4" applyFont="1" applyBorder="1" applyAlignment="1" applyProtection="1">
      <alignment horizontal="left" vertical="center"/>
      <protection locked="0"/>
    </xf>
    <xf numFmtId="49" fontId="7" fillId="0" borderId="1" xfId="4" applyNumberFormat="1" applyFont="1" applyBorder="1" applyAlignment="1" applyProtection="1">
      <alignment horizontal="left" vertical="center"/>
      <protection locked="0"/>
    </xf>
    <xf numFmtId="49" fontId="10" fillId="0" borderId="1" xfId="5" applyNumberFormat="1" applyFill="1" applyBorder="1" applyAlignment="1" applyProtection="1">
      <alignment horizontal="left" vertical="center"/>
      <protection locked="0"/>
    </xf>
    <xf numFmtId="0" fontId="6" fillId="0" borderId="0" xfId="4" quotePrefix="1" applyFont="1" applyAlignment="1">
      <alignment horizontal="left" vertical="center"/>
    </xf>
    <xf numFmtId="0" fontId="6" fillId="0" borderId="0" xfId="4" applyFont="1" applyAlignment="1">
      <alignment vertical="center"/>
    </xf>
    <xf numFmtId="49" fontId="6" fillId="0" borderId="0" xfId="4" applyNumberFormat="1" applyFont="1" applyAlignment="1" applyProtection="1">
      <alignment horizontal="right" vertical="center"/>
      <protection locked="0"/>
    </xf>
    <xf numFmtId="0" fontId="6" fillId="0" borderId="0" xfId="3" applyFont="1" applyProtection="1">
      <protection locked="0"/>
    </xf>
    <xf numFmtId="0" fontId="7" fillId="0" borderId="0" xfId="3" applyFont="1" applyProtection="1">
      <protection locked="0"/>
    </xf>
    <xf numFmtId="0" fontId="8" fillId="0" borderId="5" xfId="3" applyFont="1" applyBorder="1" applyAlignment="1">
      <alignment vertical="center"/>
    </xf>
    <xf numFmtId="0" fontId="10" fillId="0" borderId="6" xfId="5" applyFill="1" applyBorder="1" applyAlignment="1" applyProtection="1">
      <alignment vertical="center"/>
      <protection locked="0"/>
    </xf>
    <xf numFmtId="0" fontId="7" fillId="0" borderId="32" xfId="0" applyFont="1" applyBorder="1" applyAlignment="1" applyProtection="1">
      <alignment vertical="center" wrapText="1"/>
      <protection locked="0"/>
    </xf>
    <xf numFmtId="0" fontId="8" fillId="0" borderId="36" xfId="3" applyFont="1" applyBorder="1" applyAlignment="1">
      <alignment vertical="center"/>
    </xf>
    <xf numFmtId="0" fontId="10" fillId="0" borderId="0" xfId="5" applyFill="1" applyBorder="1" applyAlignment="1" applyProtection="1">
      <alignment vertical="center"/>
      <protection locked="0"/>
    </xf>
    <xf numFmtId="0" fontId="7" fillId="0" borderId="37" xfId="0" applyFont="1" applyBorder="1" applyAlignment="1" applyProtection="1">
      <alignment vertical="center" wrapText="1"/>
      <protection locked="0"/>
    </xf>
    <xf numFmtId="0" fontId="7" fillId="0" borderId="0" xfId="0" applyFont="1" applyAlignment="1" applyProtection="1">
      <alignment horizontal="left" vertical="center"/>
      <protection locked="0"/>
    </xf>
    <xf numFmtId="0" fontId="10" fillId="0" borderId="29" xfId="5" applyFill="1" applyBorder="1" applyAlignment="1" applyProtection="1">
      <alignment vertical="center"/>
      <protection locked="0"/>
    </xf>
    <xf numFmtId="0" fontId="7" fillId="0" borderId="40" xfId="0" applyFont="1" applyBorder="1" applyAlignment="1" applyProtection="1">
      <alignment vertical="center" wrapText="1"/>
      <protection locked="0"/>
    </xf>
    <xf numFmtId="0" fontId="10" fillId="0" borderId="0" xfId="5" applyFill="1" applyBorder="1" applyAlignment="1" applyProtection="1">
      <alignment horizontal="left" vertical="center"/>
      <protection locked="0"/>
    </xf>
    <xf numFmtId="0" fontId="7" fillId="0" borderId="37" xfId="0" applyFont="1" applyBorder="1" applyAlignment="1" applyProtection="1">
      <alignment horizontal="left" vertical="center" wrapText="1"/>
      <protection locked="0"/>
    </xf>
    <xf numFmtId="0" fontId="10" fillId="0" borderId="6" xfId="5" applyFill="1" applyBorder="1" applyAlignment="1" applyProtection="1">
      <alignment horizontal="left" vertical="center"/>
      <protection locked="0"/>
    </xf>
    <xf numFmtId="0" fontId="7" fillId="0" borderId="32" xfId="0" applyFont="1" applyBorder="1" applyAlignment="1" applyProtection="1">
      <alignment horizontal="left" vertical="center" wrapText="1"/>
      <protection locked="0"/>
    </xf>
    <xf numFmtId="0" fontId="7" fillId="0" borderId="0" xfId="0" applyFont="1" applyAlignment="1" applyProtection="1">
      <alignment vertical="center" wrapText="1"/>
      <protection locked="0"/>
    </xf>
    <xf numFmtId="165" fontId="0" fillId="2" borderId="8" xfId="0" applyNumberFormat="1" applyFill="1" applyBorder="1" applyProtection="1">
      <protection locked="0"/>
    </xf>
    <xf numFmtId="165" fontId="0" fillId="2" borderId="9" xfId="0" applyNumberFormat="1" applyFill="1" applyBorder="1" applyProtection="1">
      <protection locked="0"/>
    </xf>
    <xf numFmtId="0" fontId="4" fillId="0" borderId="0" xfId="0" applyFont="1" applyProtection="1">
      <protection locked="0"/>
    </xf>
    <xf numFmtId="0" fontId="0" fillId="0" borderId="0" xfId="0" applyProtection="1">
      <protection locked="0"/>
    </xf>
    <xf numFmtId="0" fontId="11" fillId="0" borderId="10" xfId="0" applyFont="1" applyBorder="1" applyProtection="1">
      <protection locked="0"/>
    </xf>
    <xf numFmtId="0" fontId="0" fillId="0" borderId="11" xfId="0" applyBorder="1" applyProtection="1">
      <protection locked="0"/>
    </xf>
    <xf numFmtId="0" fontId="0" fillId="0" borderId="12" xfId="0" applyBorder="1" applyProtection="1">
      <protection locked="0"/>
    </xf>
    <xf numFmtId="0" fontId="0" fillId="7" borderId="26" xfId="0" applyFill="1" applyBorder="1" applyProtection="1">
      <protection locked="0"/>
    </xf>
    <xf numFmtId="0" fontId="0" fillId="7" borderId="27" xfId="0" applyFill="1" applyBorder="1" applyProtection="1">
      <protection locked="0"/>
    </xf>
    <xf numFmtId="0" fontId="11" fillId="0" borderId="25" xfId="0" applyFont="1" applyBorder="1" applyProtection="1">
      <protection locked="0"/>
    </xf>
    <xf numFmtId="0" fontId="0" fillId="0" borderId="26" xfId="0" applyBorder="1" applyProtection="1">
      <protection locked="0"/>
    </xf>
    <xf numFmtId="0" fontId="0" fillId="0" borderId="27" xfId="0" applyBorder="1" applyProtection="1">
      <protection locked="0"/>
    </xf>
    <xf numFmtId="0" fontId="13" fillId="0" borderId="0" xfId="0" applyFont="1" applyProtection="1">
      <protection locked="0"/>
    </xf>
    <xf numFmtId="165" fontId="0" fillId="2" borderId="0" xfId="0" applyNumberFormat="1" applyFill="1" applyProtection="1">
      <protection locked="0"/>
    </xf>
    <xf numFmtId="0" fontId="0" fillId="0" borderId="29" xfId="0" applyBorder="1" applyProtection="1">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0" fillId="0" borderId="1"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3" fontId="0" fillId="0" borderId="1" xfId="0" applyNumberFormat="1" applyBorder="1" applyAlignment="1" applyProtection="1">
      <alignment horizontal="center" vertical="top" wrapText="1"/>
      <protection locked="0"/>
    </xf>
    <xf numFmtId="164" fontId="0" fillId="0" borderId="1" xfId="0" applyNumberFormat="1" applyBorder="1" applyAlignment="1" applyProtection="1">
      <alignment horizontal="center" vertical="top" wrapText="1"/>
      <protection locked="0"/>
    </xf>
    <xf numFmtId="0" fontId="0" fillId="0" borderId="1" xfId="0" applyBorder="1" applyAlignment="1" applyProtection="1">
      <alignment horizontal="left" vertical="top"/>
      <protection locked="0"/>
    </xf>
    <xf numFmtId="3" fontId="0" fillId="0" borderId="1" xfId="0" applyNumberFormat="1" applyBorder="1" applyAlignment="1" applyProtection="1">
      <alignment horizontal="center" vertical="top"/>
      <protection locked="0"/>
    </xf>
    <xf numFmtId="164" fontId="0" fillId="0" borderId="1" xfId="0" applyNumberFormat="1" applyBorder="1" applyAlignment="1" applyProtection="1">
      <alignment horizontal="center" vertical="top"/>
      <protection locked="0"/>
    </xf>
    <xf numFmtId="0" fontId="2" fillId="0" borderId="1" xfId="0" applyFont="1" applyBorder="1" applyAlignment="1" applyProtection="1">
      <alignment horizontal="left"/>
      <protection locked="0"/>
    </xf>
    <xf numFmtId="0" fontId="0" fillId="0" borderId="0" xfId="0" applyAlignment="1" applyProtection="1">
      <alignment horizontal="left"/>
      <protection locked="0"/>
    </xf>
    <xf numFmtId="0" fontId="0" fillId="0" borderId="5" xfId="0" applyBorder="1" applyAlignment="1" applyProtection="1">
      <alignment horizontal="left"/>
      <protection locked="0"/>
    </xf>
    <xf numFmtId="0" fontId="0" fillId="0" borderId="6" xfId="0" applyBorder="1" applyProtection="1">
      <protection locked="0"/>
    </xf>
    <xf numFmtId="0" fontId="0" fillId="0" borderId="32" xfId="0" applyBorder="1" applyProtection="1">
      <protection locked="0"/>
    </xf>
    <xf numFmtId="0" fontId="0" fillId="0" borderId="36" xfId="0" applyBorder="1" applyAlignment="1" applyProtection="1">
      <alignment horizontal="left"/>
      <protection locked="0"/>
    </xf>
    <xf numFmtId="0" fontId="0" fillId="0" borderId="37" xfId="0" applyBorder="1" applyProtection="1">
      <protection locked="0"/>
    </xf>
    <xf numFmtId="0" fontId="0" fillId="0" borderId="28" xfId="0" applyBorder="1" applyAlignment="1" applyProtection="1">
      <alignment horizontal="left"/>
      <protection locked="0"/>
    </xf>
    <xf numFmtId="0" fontId="0" fillId="0" borderId="40" xfId="0" applyBorder="1" applyProtection="1">
      <protection locked="0"/>
    </xf>
    <xf numFmtId="0" fontId="2" fillId="0" borderId="1" xfId="0" applyFont="1" applyBorder="1" applyAlignment="1" applyProtection="1">
      <alignment horizontal="center"/>
      <protection locked="0"/>
    </xf>
    <xf numFmtId="0" fontId="0" fillId="0" borderId="1" xfId="0" applyBorder="1" applyAlignment="1" applyProtection="1">
      <alignment horizontal="left" wrapText="1"/>
      <protection locked="0"/>
    </xf>
    <xf numFmtId="0" fontId="0" fillId="0" borderId="5" xfId="0" applyBorder="1" applyProtection="1">
      <protection locked="0"/>
    </xf>
    <xf numFmtId="0" fontId="0" fillId="0" borderId="36" xfId="0" applyBorder="1" applyProtection="1">
      <protection locked="0"/>
    </xf>
    <xf numFmtId="0" fontId="0" fillId="0" borderId="28" xfId="0" applyBorder="1" applyProtection="1">
      <protection locked="0"/>
    </xf>
    <xf numFmtId="0" fontId="0" fillId="0" borderId="3" xfId="0" applyBorder="1" applyAlignment="1" applyProtection="1">
      <alignment horizontal="center" vertical="top" wrapText="1"/>
      <protection locked="0"/>
    </xf>
    <xf numFmtId="0" fontId="2" fillId="0" borderId="0" xfId="0" applyFont="1" applyAlignment="1" applyProtection="1">
      <alignment horizontal="left"/>
      <protection locked="0"/>
    </xf>
    <xf numFmtId="3" fontId="2" fillId="0" borderId="0" xfId="0" applyNumberFormat="1" applyFont="1" applyAlignment="1" applyProtection="1">
      <alignment horizontal="center" vertical="top"/>
      <protection locked="0"/>
    </xf>
    <xf numFmtId="165" fontId="2" fillId="0" borderId="0" xfId="1" applyNumberFormat="1" applyFont="1" applyFill="1" applyBorder="1" applyAlignment="1" applyProtection="1">
      <alignment horizontal="center" vertical="top"/>
      <protection locked="0"/>
    </xf>
    <xf numFmtId="164" fontId="2" fillId="0" borderId="0" xfId="0" applyNumberFormat="1" applyFont="1" applyAlignment="1" applyProtection="1">
      <alignment horizontal="center" vertical="top"/>
      <protection locked="0"/>
    </xf>
    <xf numFmtId="165" fontId="2" fillId="0" borderId="0" xfId="1" applyNumberFormat="1" applyFont="1" applyFill="1" applyBorder="1" applyAlignment="1" applyProtection="1">
      <alignment horizontal="center" vertical="top" wrapText="1"/>
      <protection locked="0"/>
    </xf>
    <xf numFmtId="165" fontId="0" fillId="7" borderId="1" xfId="1" applyNumberFormat="1" applyFont="1" applyFill="1" applyBorder="1" applyAlignment="1" applyProtection="1">
      <alignment horizontal="center" vertical="top" wrapText="1"/>
    </xf>
    <xf numFmtId="165" fontId="2" fillId="7" borderId="1" xfId="1" applyNumberFormat="1" applyFont="1" applyFill="1" applyBorder="1" applyAlignment="1" applyProtection="1">
      <alignment horizontal="center"/>
    </xf>
    <xf numFmtId="165" fontId="2" fillId="7" borderId="1" xfId="1" applyNumberFormat="1" applyFont="1" applyFill="1" applyBorder="1" applyAlignment="1" applyProtection="1">
      <alignment horizontal="center" wrapText="1"/>
    </xf>
    <xf numFmtId="165" fontId="0" fillId="7" borderId="1" xfId="1" applyNumberFormat="1" applyFont="1" applyFill="1" applyBorder="1" applyAlignment="1" applyProtection="1">
      <alignment horizontal="center" vertical="top"/>
    </xf>
    <xf numFmtId="165" fontId="2" fillId="7" borderId="1" xfId="1" applyNumberFormat="1" applyFont="1" applyFill="1" applyBorder="1" applyAlignment="1" applyProtection="1">
      <alignment horizontal="center" vertical="top"/>
    </xf>
    <xf numFmtId="165" fontId="2" fillId="7" borderId="1" xfId="1" applyNumberFormat="1" applyFont="1" applyFill="1" applyBorder="1" applyAlignment="1" applyProtection="1">
      <alignment horizontal="center" vertical="top" wrapText="1"/>
    </xf>
    <xf numFmtId="0" fontId="0" fillId="7" borderId="0" xfId="0" applyFill="1" applyProtection="1">
      <protection locked="0"/>
    </xf>
    <xf numFmtId="0" fontId="15" fillId="0" borderId="25" xfId="0" applyFont="1" applyBorder="1" applyProtection="1">
      <protection locked="0"/>
    </xf>
    <xf numFmtId="2" fontId="0" fillId="0" borderId="0" xfId="0" applyNumberFormat="1" applyProtection="1">
      <protection locked="0"/>
    </xf>
    <xf numFmtId="0" fontId="15" fillId="0" borderId="0" xfId="0" applyFont="1" applyProtection="1">
      <protection locked="0"/>
    </xf>
    <xf numFmtId="0" fontId="10" fillId="0" borderId="0" xfId="5" applyProtection="1">
      <protection locked="0"/>
    </xf>
    <xf numFmtId="0" fontId="2" fillId="0" borderId="24" xfId="0" applyFont="1" applyBorder="1" applyProtection="1">
      <protection locked="0"/>
    </xf>
    <xf numFmtId="0" fontId="0" fillId="0" borderId="1" xfId="0" applyBorder="1" applyAlignment="1" applyProtection="1">
      <alignment horizontal="center" wrapText="1"/>
      <protection locked="0"/>
    </xf>
    <xf numFmtId="0" fontId="0" fillId="0" borderId="1" xfId="0" applyBorder="1" applyProtection="1">
      <protection locked="0"/>
    </xf>
    <xf numFmtId="3" fontId="0" fillId="0" borderId="1" xfId="0" applyNumberFormat="1" applyBorder="1" applyAlignment="1" applyProtection="1">
      <alignment horizontal="center" wrapText="1"/>
      <protection locked="0"/>
    </xf>
    <xf numFmtId="166" fontId="0" fillId="0" borderId="1" xfId="2" applyNumberFormat="1" applyFont="1" applyFill="1" applyBorder="1" applyAlignment="1" applyProtection="1">
      <alignment horizontal="center"/>
      <protection locked="0"/>
    </xf>
    <xf numFmtId="0" fontId="0" fillId="7" borderId="1" xfId="0" applyFill="1" applyBorder="1" applyProtection="1">
      <protection locked="0"/>
    </xf>
    <xf numFmtId="0" fontId="0" fillId="0" borderId="10"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49" fontId="6" fillId="7" borderId="0" xfId="0" applyNumberFormat="1" applyFont="1" applyFill="1" applyAlignment="1">
      <alignment horizontal="left"/>
    </xf>
    <xf numFmtId="0" fontId="6" fillId="7" borderId="30" xfId="0" applyFont="1" applyFill="1" applyBorder="1" applyAlignment="1">
      <alignment horizontal="left"/>
    </xf>
    <xf numFmtId="165" fontId="0" fillId="7" borderId="1" xfId="1" applyNumberFormat="1" applyFont="1" applyFill="1" applyBorder="1" applyAlignment="1" applyProtection="1">
      <alignment horizontal="center"/>
    </xf>
    <xf numFmtId="3" fontId="0" fillId="7" borderId="1" xfId="0" applyNumberFormat="1" applyFill="1" applyBorder="1" applyAlignment="1">
      <alignment horizontal="center" wrapText="1"/>
    </xf>
    <xf numFmtId="0" fontId="2" fillId="0" borderId="0" xfId="0" applyFont="1" applyProtection="1">
      <protection locked="0"/>
    </xf>
    <xf numFmtId="0" fontId="13" fillId="0" borderId="1" xfId="0" applyFont="1" applyBorder="1" applyAlignment="1" applyProtection="1">
      <alignment horizontal="left" vertical="top" wrapText="1"/>
      <protection locked="0"/>
    </xf>
    <xf numFmtId="0" fontId="6" fillId="7" borderId="0" xfId="0" applyFont="1" applyFill="1" applyAlignment="1">
      <alignment horizontal="left"/>
    </xf>
    <xf numFmtId="0" fontId="2" fillId="0" borderId="0" xfId="0" applyFont="1" applyAlignment="1" applyProtection="1">
      <alignment horizontal="centerContinuous"/>
      <protection locked="0"/>
    </xf>
    <xf numFmtId="0" fontId="0" fillId="0" borderId="0" xfId="0" applyAlignment="1" applyProtection="1">
      <alignment horizontal="centerContinuous"/>
      <protection locked="0"/>
    </xf>
    <xf numFmtId="164" fontId="0" fillId="0" borderId="1" xfId="0" applyNumberFormat="1" applyBorder="1" applyAlignment="1" applyProtection="1">
      <alignment horizontal="center"/>
      <protection locked="0"/>
    </xf>
    <xf numFmtId="165" fontId="0" fillId="0" borderId="1" xfId="1" applyNumberFormat="1" applyFont="1" applyFill="1" applyBorder="1" applyAlignment="1" applyProtection="1">
      <alignment horizontal="center"/>
      <protection locked="0"/>
    </xf>
    <xf numFmtId="0" fontId="0" fillId="0" borderId="1" xfId="0" applyBorder="1" applyAlignment="1" applyProtection="1">
      <alignment wrapText="1"/>
      <protection locked="0"/>
    </xf>
    <xf numFmtId="0" fontId="25" fillId="0" borderId="0" xfId="0" applyFont="1" applyAlignment="1" applyProtection="1">
      <alignment horizontal="left" vertical="center" indent="2"/>
      <protection locked="0"/>
    </xf>
    <xf numFmtId="0" fontId="0" fillId="0" borderId="24" xfId="0" applyBorder="1" applyProtection="1">
      <protection locked="0"/>
    </xf>
    <xf numFmtId="0" fontId="0" fillId="0" borderId="24" xfId="0" applyBorder="1" applyAlignment="1" applyProtection="1">
      <alignment horizontal="center" vertical="center" wrapText="1"/>
      <protection locked="0"/>
    </xf>
    <xf numFmtId="0" fontId="2" fillId="0" borderId="0" xfId="0" applyFont="1" applyAlignment="1">
      <alignment horizontal="centerContinuous"/>
    </xf>
    <xf numFmtId="0" fontId="0" fillId="0" borderId="1" xfId="0" applyBorder="1" applyAlignment="1">
      <alignment horizontal="center" wrapText="1"/>
    </xf>
    <xf numFmtId="164" fontId="0" fillId="7" borderId="1" xfId="0" applyNumberFormat="1" applyFill="1" applyBorder="1" applyAlignment="1">
      <alignment horizontal="center"/>
    </xf>
    <xf numFmtId="0" fontId="0" fillId="0" borderId="0" xfId="0" applyAlignment="1">
      <alignment horizontal="centerContinuous"/>
    </xf>
    <xf numFmtId="0" fontId="0" fillId="0" borderId="24" xfId="0" applyBorder="1" applyAlignment="1">
      <alignment horizontal="center" vertical="center" wrapText="1"/>
    </xf>
    <xf numFmtId="0" fontId="0" fillId="0" borderId="11" xfId="0" applyBorder="1" applyAlignment="1" applyProtection="1">
      <alignment horizontal="centerContinuous"/>
      <protection locked="0"/>
    </xf>
    <xf numFmtId="0" fontId="0" fillId="0" borderId="12" xfId="0" applyBorder="1" applyAlignment="1" applyProtection="1">
      <alignment horizontal="centerContinuous"/>
      <protection locked="0"/>
    </xf>
    <xf numFmtId="0" fontId="26" fillId="0" borderId="13" xfId="0" applyFont="1" applyBorder="1" applyProtection="1">
      <protection locked="0"/>
    </xf>
    <xf numFmtId="0" fontId="26" fillId="0" borderId="0" xfId="0" applyFont="1" applyAlignment="1" applyProtection="1">
      <alignment horizontal="right"/>
      <protection locked="0"/>
    </xf>
    <xf numFmtId="0" fontId="26" fillId="0" borderId="14" xfId="0" applyFont="1" applyBorder="1" applyAlignment="1" applyProtection="1">
      <alignment horizontal="centerContinuous"/>
      <protection locked="0"/>
    </xf>
    <xf numFmtId="0" fontId="27" fillId="0" borderId="13" xfId="0" applyFont="1" applyBorder="1" applyProtection="1">
      <protection locked="0"/>
    </xf>
    <xf numFmtId="0" fontId="27" fillId="0" borderId="0" xfId="0" applyFont="1" applyAlignment="1" applyProtection="1">
      <alignment horizontal="right"/>
      <protection locked="0"/>
    </xf>
    <xf numFmtId="0" fontId="0" fillId="0" borderId="31" xfId="0" applyBorder="1" applyProtection="1">
      <protection locked="0"/>
    </xf>
    <xf numFmtId="9" fontId="0" fillId="0" borderId="14" xfId="1" applyFont="1" applyFill="1" applyBorder="1" applyProtection="1"/>
    <xf numFmtId="0" fontId="10" fillId="0" borderId="0" xfId="5" applyFill="1" applyProtection="1">
      <protection locked="0"/>
    </xf>
    <xf numFmtId="0" fontId="1" fillId="0" borderId="0" xfId="0" applyFont="1" applyProtection="1">
      <protection locked="0"/>
    </xf>
    <xf numFmtId="0" fontId="1" fillId="0" borderId="0" xfId="0" applyFont="1" applyAlignment="1" applyProtection="1">
      <alignment vertical="top"/>
      <protection locked="0"/>
    </xf>
    <xf numFmtId="0" fontId="11" fillId="0" borderId="0" xfId="0" applyFont="1" applyProtection="1">
      <protection locked="0"/>
    </xf>
    <xf numFmtId="0" fontId="2" fillId="0" borderId="0" xfId="0" applyFont="1" applyAlignment="1" applyProtection="1">
      <alignment vertical="top"/>
      <protection locked="0"/>
    </xf>
    <xf numFmtId="0" fontId="2"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vertical="top"/>
      <protection locked="0"/>
    </xf>
    <xf numFmtId="0" fontId="7" fillId="0" borderId="1" xfId="0" applyFont="1" applyBorder="1" applyAlignment="1" applyProtection="1">
      <alignment horizontal="left" vertical="top" wrapText="1"/>
      <protection locked="0"/>
    </xf>
    <xf numFmtId="0" fontId="7" fillId="0" borderId="1" xfId="0" applyFont="1" applyBorder="1" applyAlignment="1" applyProtection="1">
      <alignment vertical="top" wrapText="1"/>
      <protection locked="0"/>
    </xf>
    <xf numFmtId="49" fontId="6" fillId="7" borderId="0" xfId="0" applyNumberFormat="1" applyFont="1" applyFill="1"/>
    <xf numFmtId="0" fontId="6" fillId="7" borderId="8" xfId="0" applyFont="1" applyFill="1" applyBorder="1" applyAlignment="1">
      <alignment horizontal="left"/>
    </xf>
    <xf numFmtId="0" fontId="6" fillId="7" borderId="8" xfId="0" applyFont="1" applyFill="1" applyBorder="1" applyAlignment="1">
      <alignment horizontal="right"/>
    </xf>
    <xf numFmtId="0" fontId="17" fillId="0" borderId="0" xfId="0" applyFont="1" applyProtection="1">
      <protection locked="0"/>
    </xf>
    <xf numFmtId="0" fontId="7" fillId="7" borderId="0" xfId="0" applyFont="1" applyFill="1" applyProtection="1">
      <protection locked="0"/>
    </xf>
    <xf numFmtId="0" fontId="9" fillId="7" borderId="0" xfId="0" applyFont="1" applyFill="1" applyAlignment="1" applyProtection="1">
      <alignment horizontal="left"/>
      <protection locked="0"/>
    </xf>
    <xf numFmtId="0" fontId="6" fillId="3" borderId="25" xfId="0" applyFont="1" applyFill="1" applyBorder="1" applyProtection="1">
      <protection locked="0"/>
    </xf>
    <xf numFmtId="0" fontId="6" fillId="3" borderId="26" xfId="0" applyFont="1" applyFill="1" applyBorder="1" applyProtection="1">
      <protection locked="0"/>
    </xf>
    <xf numFmtId="0" fontId="6" fillId="3" borderId="27" xfId="0" applyFont="1" applyFill="1" applyBorder="1" applyProtection="1">
      <protection locked="0"/>
    </xf>
    <xf numFmtId="0" fontId="6" fillId="4" borderId="25" xfId="0" applyFont="1" applyFill="1" applyBorder="1" applyAlignment="1" applyProtection="1">
      <alignment vertical="center" wrapText="1"/>
      <protection locked="0"/>
    </xf>
    <xf numFmtId="0" fontId="7" fillId="4" borderId="26" xfId="0" applyFont="1" applyFill="1" applyBorder="1" applyAlignment="1" applyProtection="1">
      <alignment vertical="center" wrapText="1"/>
      <protection locked="0"/>
    </xf>
    <xf numFmtId="0" fontId="7" fillId="4" borderId="27" xfId="0" applyFont="1" applyFill="1" applyBorder="1" applyAlignment="1" applyProtection="1">
      <alignment vertical="center" wrapText="1"/>
      <protection locked="0"/>
    </xf>
    <xf numFmtId="49" fontId="7" fillId="0" borderId="24" xfId="0" applyNumberFormat="1" applyFont="1" applyBorder="1" applyAlignment="1" applyProtection="1">
      <alignment horizontal="right" vertical="top"/>
      <protection locked="0"/>
    </xf>
    <xf numFmtId="0" fontId="7" fillId="0" borderId="5" xfId="0" applyFont="1" applyBorder="1" applyAlignment="1" applyProtection="1">
      <alignment horizontal="left" vertical="top" indent="1"/>
      <protection locked="0"/>
    </xf>
    <xf numFmtId="0" fontId="7" fillId="0" borderId="32" xfId="0" applyFont="1" applyBorder="1" applyAlignment="1" applyProtection="1">
      <alignment horizontal="left" vertical="top" indent="1"/>
      <protection locked="0"/>
    </xf>
    <xf numFmtId="49" fontId="7" fillId="0" borderId="35" xfId="0" applyNumberFormat="1" applyFont="1" applyBorder="1" applyAlignment="1" applyProtection="1">
      <alignment horizontal="right" vertical="top"/>
      <protection locked="0"/>
    </xf>
    <xf numFmtId="0" fontId="7" fillId="0" borderId="36" xfId="0" applyFont="1" applyBorder="1" applyAlignment="1" applyProtection="1">
      <alignment vertical="top"/>
      <protection locked="0"/>
    </xf>
    <xf numFmtId="0" fontId="7" fillId="0" borderId="37" xfId="0" applyFont="1" applyBorder="1" applyAlignment="1" applyProtection="1">
      <alignment horizontal="left" vertical="top" indent="1"/>
      <protection locked="0"/>
    </xf>
    <xf numFmtId="49" fontId="7" fillId="2" borderId="39" xfId="0" applyNumberFormat="1" applyFont="1" applyFill="1" applyBorder="1" applyAlignment="1" applyProtection="1">
      <alignment horizontal="right" vertical="top"/>
      <protection locked="0"/>
    </xf>
    <xf numFmtId="2" fontId="7" fillId="2" borderId="28" xfId="0" applyNumberFormat="1" applyFont="1" applyFill="1" applyBorder="1" applyAlignment="1" applyProtection="1">
      <alignment horizontal="right" vertical="top"/>
      <protection locked="0"/>
    </xf>
    <xf numFmtId="0" fontId="7" fillId="2" borderId="40" xfId="0" applyFont="1" applyFill="1" applyBorder="1" applyAlignment="1" applyProtection="1">
      <alignment horizontal="left" vertical="top" indent="1"/>
      <protection locked="0"/>
    </xf>
    <xf numFmtId="0" fontId="7" fillId="0" borderId="36" xfId="0" applyFont="1" applyBorder="1" applyAlignment="1" applyProtection="1">
      <alignment horizontal="left" vertical="top" indent="1"/>
      <protection locked="0"/>
    </xf>
    <xf numFmtId="0" fontId="7" fillId="0" borderId="36" xfId="0" quotePrefix="1" applyFont="1" applyBorder="1" applyAlignment="1" applyProtection="1">
      <alignment horizontal="right" vertical="top"/>
      <protection locked="0"/>
    </xf>
    <xf numFmtId="0" fontId="7" fillId="0" borderId="37" xfId="0" applyFont="1" applyBorder="1" applyAlignment="1" applyProtection="1">
      <alignment horizontal="left" vertical="top" wrapText="1" indent="1"/>
      <protection locked="0"/>
    </xf>
    <xf numFmtId="38" fontId="7" fillId="7" borderId="38" xfId="6" applyNumberFormat="1" applyFont="1" applyFill="1" applyBorder="1" applyAlignment="1" applyProtection="1">
      <alignment horizontal="right" vertical="top"/>
      <protection locked="0"/>
    </xf>
    <xf numFmtId="0" fontId="7" fillId="2" borderId="28" xfId="0" applyFont="1" applyFill="1" applyBorder="1" applyAlignment="1" applyProtection="1">
      <alignment vertical="top"/>
      <protection locked="0"/>
    </xf>
    <xf numFmtId="0" fontId="7" fillId="2" borderId="40" xfId="0" applyFont="1" applyFill="1" applyBorder="1" applyAlignment="1" applyProtection="1">
      <alignment horizontal="left" vertical="top" wrapText="1" indent="1"/>
      <protection locked="0"/>
    </xf>
    <xf numFmtId="0" fontId="7" fillId="0" borderId="32" xfId="0" applyFont="1" applyBorder="1" applyAlignment="1" applyProtection="1">
      <alignment vertical="top"/>
      <protection locked="0"/>
    </xf>
    <xf numFmtId="0" fontId="1" fillId="0" borderId="0" xfId="0" applyFont="1" applyAlignment="1" applyProtection="1">
      <alignment vertical="center" wrapText="1"/>
      <protection locked="0"/>
    </xf>
    <xf numFmtId="0" fontId="21" fillId="2" borderId="39" xfId="0" applyFont="1" applyFill="1" applyBorder="1" applyAlignment="1" applyProtection="1">
      <alignment vertical="top"/>
      <protection locked="0"/>
    </xf>
    <xf numFmtId="0" fontId="7" fillId="2" borderId="28" xfId="0" applyFont="1" applyFill="1" applyBorder="1" applyAlignment="1" applyProtection="1">
      <alignment horizontal="left" vertical="top"/>
      <protection locked="0"/>
    </xf>
    <xf numFmtId="0" fontId="7" fillId="2" borderId="40" xfId="0" applyFont="1" applyFill="1" applyBorder="1" applyAlignment="1" applyProtection="1">
      <alignment vertical="top"/>
      <protection locked="0"/>
    </xf>
    <xf numFmtId="0" fontId="7" fillId="0" borderId="0" xfId="0" applyFont="1" applyAlignment="1" applyProtection="1">
      <alignment horizontal="left" vertical="top" indent="1"/>
      <protection locked="0"/>
    </xf>
    <xf numFmtId="0" fontId="7" fillId="2" borderId="29" xfId="0" applyFont="1" applyFill="1" applyBorder="1" applyAlignment="1" applyProtection="1">
      <alignment horizontal="left" vertical="top" wrapText="1" indent="1"/>
      <protection locked="0"/>
    </xf>
    <xf numFmtId="49" fontId="7" fillId="0" borderId="36" xfId="0" applyNumberFormat="1" applyFont="1" applyBorder="1" applyAlignment="1" applyProtection="1">
      <alignment horizontal="right" vertical="top"/>
      <protection locked="0"/>
    </xf>
    <xf numFmtId="0" fontId="7" fillId="2" borderId="36" xfId="0" applyFont="1" applyFill="1" applyBorder="1" applyAlignment="1" applyProtection="1">
      <alignment vertical="top"/>
      <protection locked="0"/>
    </xf>
    <xf numFmtId="0" fontId="7" fillId="2" borderId="37" xfId="0" applyFont="1" applyFill="1" applyBorder="1" applyAlignment="1" applyProtection="1">
      <alignment horizontal="left" vertical="top" indent="1"/>
      <protection locked="0"/>
    </xf>
    <xf numFmtId="49" fontId="7" fillId="2" borderId="5" xfId="0" applyNumberFormat="1" applyFont="1" applyFill="1" applyBorder="1" applyAlignment="1" applyProtection="1">
      <alignment horizontal="right" vertical="top"/>
      <protection locked="0"/>
    </xf>
    <xf numFmtId="0" fontId="7" fillId="2" borderId="5" xfId="0" applyFont="1" applyFill="1" applyBorder="1" applyAlignment="1" applyProtection="1">
      <alignment horizontal="left" vertical="top" indent="1"/>
      <protection locked="0"/>
    </xf>
    <xf numFmtId="0" fontId="7" fillId="2" borderId="32" xfId="0" applyFont="1" applyFill="1" applyBorder="1" applyAlignment="1" applyProtection="1">
      <alignment vertical="top"/>
      <protection locked="0"/>
    </xf>
    <xf numFmtId="49" fontId="7" fillId="0" borderId="39" xfId="0" applyNumberFormat="1" applyFont="1" applyBorder="1" applyAlignment="1" applyProtection="1">
      <alignment horizontal="right" vertical="top"/>
      <protection locked="0"/>
    </xf>
    <xf numFmtId="0" fontId="7" fillId="0" borderId="28" xfId="0" applyFont="1" applyBorder="1" applyAlignment="1" applyProtection="1">
      <alignment vertical="top"/>
      <protection locked="0"/>
    </xf>
    <xf numFmtId="0" fontId="7" fillId="0" borderId="40" xfId="0" applyFont="1" applyBorder="1" applyAlignment="1" applyProtection="1">
      <alignment horizontal="left" vertical="top" indent="1"/>
      <protection locked="0"/>
    </xf>
    <xf numFmtId="49" fontId="6" fillId="7" borderId="8" xfId="0" applyNumberFormat="1" applyFont="1" applyFill="1" applyBorder="1" applyAlignment="1">
      <alignment horizontal="right"/>
    </xf>
    <xf numFmtId="49" fontId="6" fillId="7" borderId="26" xfId="0" applyNumberFormat="1" applyFont="1" applyFill="1" applyBorder="1" applyAlignment="1">
      <alignment horizontal="right"/>
    </xf>
    <xf numFmtId="49" fontId="6" fillId="7" borderId="27" xfId="0" applyNumberFormat="1" applyFont="1" applyFill="1" applyBorder="1" applyAlignment="1">
      <alignment horizontal="right"/>
    </xf>
    <xf numFmtId="0" fontId="7" fillId="0" borderId="34" xfId="0" applyFont="1" applyBorder="1" applyAlignment="1" applyProtection="1">
      <alignment horizontal="left" vertical="top" indent="1"/>
      <protection locked="0"/>
    </xf>
    <xf numFmtId="0" fontId="6" fillId="0" borderId="0" xfId="3" applyFont="1" applyAlignment="1" applyProtection="1">
      <alignment horizontal="left"/>
      <protection locked="0"/>
    </xf>
    <xf numFmtId="0" fontId="1" fillId="0" borderId="0" xfId="3" applyFont="1" applyProtection="1">
      <protection locked="0"/>
    </xf>
    <xf numFmtId="0" fontId="6" fillId="0" borderId="0" xfId="3" applyFont="1" applyAlignment="1" applyProtection="1">
      <alignment horizontal="center"/>
      <protection locked="0"/>
    </xf>
    <xf numFmtId="0" fontId="22" fillId="0" borderId="0" xfId="3" applyFont="1" applyAlignment="1" applyProtection="1">
      <alignment horizontal="left"/>
      <protection locked="0"/>
    </xf>
    <xf numFmtId="0" fontId="22" fillId="0" borderId="0" xfId="3" applyFont="1" applyAlignment="1" applyProtection="1">
      <alignment horizontal="center"/>
      <protection locked="0"/>
    </xf>
    <xf numFmtId="0" fontId="22" fillId="0" borderId="0" xfId="3" applyFont="1" applyProtection="1">
      <protection locked="0"/>
    </xf>
    <xf numFmtId="0" fontId="23" fillId="0" borderId="0" xfId="3" applyFont="1" applyAlignment="1" applyProtection="1">
      <alignment horizontal="center"/>
      <protection locked="0"/>
    </xf>
    <xf numFmtId="0" fontId="2" fillId="0" borderId="0" xfId="3" applyFont="1" applyProtection="1">
      <protection locked="0"/>
    </xf>
    <xf numFmtId="0" fontId="2" fillId="0" borderId="2" xfId="3" applyFont="1" applyBorder="1" applyAlignment="1" applyProtection="1">
      <alignment horizontal="left"/>
      <protection locked="0"/>
    </xf>
    <xf numFmtId="0" fontId="2" fillId="0" borderId="3" xfId="3" applyFont="1" applyBorder="1" applyAlignment="1" applyProtection="1">
      <alignment horizontal="left"/>
      <protection locked="0"/>
    </xf>
    <xf numFmtId="0" fontId="2" fillId="0" borderId="4" xfId="3" applyFont="1" applyBorder="1" applyAlignment="1" applyProtection="1">
      <alignment horizontal="left"/>
      <protection locked="0"/>
    </xf>
    <xf numFmtId="0" fontId="2" fillId="0" borderId="1" xfId="3" applyFont="1" applyBorder="1" applyAlignment="1" applyProtection="1">
      <alignment horizontal="left" wrapText="1"/>
      <protection locked="0"/>
    </xf>
    <xf numFmtId="0" fontId="2" fillId="0" borderId="1" xfId="3" applyFont="1" applyBorder="1" applyAlignment="1" applyProtection="1">
      <alignment horizontal="right" wrapText="1"/>
      <protection locked="0"/>
    </xf>
    <xf numFmtId="0" fontId="2" fillId="0" borderId="1" xfId="3" applyFont="1" applyBorder="1" applyAlignment="1" applyProtection="1">
      <alignment wrapText="1"/>
      <protection locked="0"/>
    </xf>
    <xf numFmtId="0" fontId="2" fillId="0" borderId="1" xfId="3" applyFont="1" applyBorder="1" applyProtection="1">
      <protection locked="0"/>
    </xf>
    <xf numFmtId="0" fontId="1" fillId="0" borderId="0" xfId="3" applyFont="1" applyAlignment="1" applyProtection="1">
      <alignment wrapText="1"/>
      <protection locked="0"/>
    </xf>
    <xf numFmtId="164" fontId="1" fillId="0" borderId="0" xfId="3" applyNumberFormat="1" applyFont="1" applyAlignment="1" applyProtection="1">
      <alignment horizontal="center"/>
      <protection locked="0"/>
    </xf>
    <xf numFmtId="9" fontId="1" fillId="0" borderId="0" xfId="3" applyNumberFormat="1" applyFont="1" applyAlignment="1" applyProtection="1">
      <alignment horizontal="center"/>
      <protection locked="0"/>
    </xf>
    <xf numFmtId="49" fontId="6" fillId="0" borderId="0" xfId="3" applyNumberFormat="1" applyFont="1" applyAlignment="1" applyProtection="1">
      <alignment horizontal="left"/>
      <protection locked="0"/>
    </xf>
    <xf numFmtId="0" fontId="1" fillId="0" borderId="0" xfId="3" applyFont="1" applyAlignment="1" applyProtection="1">
      <alignment horizontal="center"/>
      <protection locked="0"/>
    </xf>
    <xf numFmtId="0" fontId="2" fillId="7" borderId="0" xfId="3" applyFont="1" applyFill="1"/>
    <xf numFmtId="0" fontId="2" fillId="7" borderId="1" xfId="3" applyFont="1" applyFill="1" applyBorder="1" applyAlignment="1">
      <alignment horizontal="right" wrapText="1"/>
    </xf>
    <xf numFmtId="165" fontId="1" fillId="7" borderId="1" xfId="8" applyNumberFormat="1" applyFont="1" applyFill="1" applyBorder="1" applyAlignment="1" applyProtection="1">
      <alignment horizontal="right"/>
    </xf>
    <xf numFmtId="8" fontId="1" fillId="7" borderId="1" xfId="3" applyNumberFormat="1" applyFont="1" applyFill="1" applyBorder="1" applyAlignment="1">
      <alignment horizontal="right"/>
    </xf>
    <xf numFmtId="1" fontId="6" fillId="7" borderId="1" xfId="3" applyNumberFormat="1" applyFont="1" applyFill="1" applyBorder="1" applyAlignment="1">
      <alignment horizontal="right"/>
    </xf>
    <xf numFmtId="0" fontId="23" fillId="0" borderId="0" xfId="3" applyFont="1" applyProtection="1">
      <protection locked="0"/>
    </xf>
    <xf numFmtId="49" fontId="1" fillId="0" borderId="0" xfId="3" applyNumberFormat="1" applyFont="1" applyProtection="1">
      <protection locked="0"/>
    </xf>
    <xf numFmtId="0" fontId="2" fillId="0" borderId="3" xfId="3" applyFont="1" applyBorder="1" applyProtection="1">
      <protection locked="0"/>
    </xf>
    <xf numFmtId="164" fontId="1" fillId="0" borderId="0" xfId="3" applyNumberFormat="1" applyFont="1" applyAlignment="1" applyProtection="1">
      <alignment horizontal="right"/>
      <protection locked="0"/>
    </xf>
    <xf numFmtId="165" fontId="1" fillId="0" borderId="0" xfId="8" applyNumberFormat="1" applyFont="1" applyBorder="1" applyAlignment="1" applyProtection="1">
      <alignment horizontal="right"/>
      <protection locked="0"/>
    </xf>
    <xf numFmtId="49" fontId="6" fillId="0" borderId="1" xfId="3" applyNumberFormat="1" applyFont="1" applyBorder="1" applyAlignment="1" applyProtection="1">
      <alignment horizontal="right" wrapText="1"/>
      <protection locked="0"/>
    </xf>
    <xf numFmtId="0" fontId="1" fillId="0" borderId="0" xfId="3" applyFont="1" applyAlignment="1" applyProtection="1">
      <alignment vertical="top" wrapText="1"/>
      <protection locked="0"/>
    </xf>
    <xf numFmtId="0" fontId="2" fillId="0" borderId="2" xfId="3" applyFont="1" applyBorder="1"/>
    <xf numFmtId="164" fontId="1" fillId="7" borderId="1" xfId="9" applyNumberFormat="1" applyFont="1" applyFill="1" applyBorder="1" applyAlignment="1" applyProtection="1">
      <alignment horizontal="right"/>
    </xf>
    <xf numFmtId="0" fontId="2" fillId="7" borderId="1" xfId="9" applyNumberFormat="1" applyFont="1" applyFill="1" applyBorder="1" applyAlignment="1" applyProtection="1">
      <alignment horizontal="right"/>
    </xf>
    <xf numFmtId="49" fontId="6" fillId="7" borderId="1" xfId="3" applyNumberFormat="1" applyFont="1" applyFill="1" applyBorder="1" applyAlignment="1">
      <alignment horizontal="right"/>
    </xf>
    <xf numFmtId="0" fontId="2" fillId="0" borderId="1" xfId="3" applyFont="1" applyBorder="1" applyAlignment="1">
      <alignment wrapText="1"/>
    </xf>
    <xf numFmtId="164" fontId="1" fillId="7" borderId="1" xfId="9" applyNumberFormat="1" applyFont="1" applyFill="1" applyBorder="1" applyProtection="1"/>
    <xf numFmtId="8" fontId="1" fillId="7" borderId="1" xfId="9" applyNumberFormat="1" applyFont="1" applyFill="1" applyBorder="1" applyProtection="1"/>
    <xf numFmtId="164" fontId="1" fillId="7" borderId="1" xfId="3" applyNumberFormat="1" applyFont="1" applyFill="1" applyBorder="1"/>
    <xf numFmtId="164" fontId="1" fillId="0" borderId="1" xfId="9" applyNumberFormat="1" applyFont="1" applyFill="1" applyBorder="1" applyProtection="1">
      <protection locked="0"/>
    </xf>
    <xf numFmtId="164" fontId="1" fillId="0" borderId="0" xfId="3" applyNumberFormat="1" applyFont="1" applyProtection="1">
      <protection locked="0"/>
    </xf>
    <xf numFmtId="0" fontId="2" fillId="0" borderId="0" xfId="3" applyFont="1" applyAlignment="1" applyProtection="1">
      <alignment wrapText="1"/>
      <protection locked="0"/>
    </xf>
    <xf numFmtId="164" fontId="1" fillId="0" borderId="0" xfId="9" applyNumberFormat="1" applyFont="1" applyFill="1" applyBorder="1" applyProtection="1">
      <protection locked="0"/>
    </xf>
    <xf numFmtId="164" fontId="1" fillId="0" borderId="0" xfId="10" applyNumberFormat="1" applyFont="1" applyProtection="1">
      <protection locked="0"/>
    </xf>
    <xf numFmtId="44" fontId="1" fillId="0" borderId="0" xfId="3" applyNumberFormat="1" applyFont="1" applyProtection="1">
      <protection locked="0"/>
    </xf>
    <xf numFmtId="0" fontId="6" fillId="0" borderId="0" xfId="3" applyFont="1" applyAlignment="1" applyProtection="1">
      <alignment horizontal="right"/>
      <protection locked="0"/>
    </xf>
    <xf numFmtId="0" fontId="23" fillId="0" borderId="0" xfId="3" applyFont="1" applyAlignment="1" applyProtection="1">
      <alignment horizontal="right"/>
      <protection locked="0"/>
    </xf>
    <xf numFmtId="0" fontId="2" fillId="0" borderId="1" xfId="3" applyFont="1" applyBorder="1" applyAlignment="1" applyProtection="1">
      <alignment horizontal="left"/>
      <protection locked="0"/>
    </xf>
    <xf numFmtId="0" fontId="1" fillId="0" borderId="1" xfId="3" applyFont="1" applyBorder="1" applyAlignment="1" applyProtection="1">
      <alignment horizontal="left"/>
      <protection locked="0"/>
    </xf>
    <xf numFmtId="165" fontId="1" fillId="7" borderId="1" xfId="8" applyNumberFormat="1" applyFont="1" applyFill="1" applyBorder="1" applyProtection="1"/>
    <xf numFmtId="0" fontId="2" fillId="0" borderId="10" xfId="3" applyFont="1" applyBorder="1" applyAlignment="1" applyProtection="1">
      <alignment horizontal="left"/>
      <protection locked="0"/>
    </xf>
    <xf numFmtId="0" fontId="2" fillId="0" borderId="11" xfId="3" applyFont="1" applyBorder="1" applyAlignment="1" applyProtection="1">
      <alignment horizontal="left"/>
      <protection locked="0"/>
    </xf>
    <xf numFmtId="0" fontId="2" fillId="0" borderId="12" xfId="3" applyFont="1" applyBorder="1" applyAlignment="1" applyProtection="1">
      <alignment horizontal="left"/>
      <protection locked="0"/>
    </xf>
    <xf numFmtId="0" fontId="16" fillId="0" borderId="13" xfId="3" applyFont="1" applyBorder="1" applyAlignment="1" applyProtection="1">
      <alignment horizontal="left" vertical="center" wrapText="1"/>
      <protection locked="0"/>
    </xf>
    <xf numFmtId="0" fontId="2" fillId="0" borderId="14" xfId="3" applyFont="1" applyBorder="1" applyAlignment="1" applyProtection="1">
      <alignment wrapText="1"/>
      <protection locked="0"/>
    </xf>
    <xf numFmtId="0" fontId="2" fillId="0" borderId="23" xfId="3" applyFont="1" applyBorder="1" applyProtection="1">
      <protection locked="0"/>
    </xf>
    <xf numFmtId="0" fontId="2" fillId="0" borderId="2" xfId="3" applyFont="1" applyBorder="1" applyAlignment="1" applyProtection="1">
      <alignment horizontal="centerContinuous" vertical="center" wrapText="1"/>
      <protection locked="0"/>
    </xf>
    <xf numFmtId="0" fontId="2" fillId="0" borderId="3" xfId="3" applyFont="1" applyBorder="1" applyAlignment="1" applyProtection="1">
      <alignment horizontal="centerContinuous" vertical="center"/>
      <protection locked="0"/>
    </xf>
    <xf numFmtId="0" fontId="1" fillId="0" borderId="3" xfId="3" applyFont="1" applyBorder="1" applyAlignment="1" applyProtection="1">
      <alignment horizontal="centerContinuous" vertical="center" wrapText="1"/>
      <protection locked="0"/>
    </xf>
    <xf numFmtId="0" fontId="1" fillId="0" borderId="48" xfId="3" applyFont="1" applyBorder="1" applyAlignment="1" applyProtection="1">
      <alignment horizontal="centerContinuous" vertical="center" wrapText="1"/>
      <protection locked="0"/>
    </xf>
    <xf numFmtId="0" fontId="1" fillId="0" borderId="49" xfId="3" applyFont="1" applyBorder="1" applyAlignment="1" applyProtection="1">
      <alignment vertical="center"/>
      <protection locked="0"/>
    </xf>
    <xf numFmtId="0" fontId="2" fillId="0" borderId="1" xfId="3" applyFont="1" applyBorder="1" applyAlignment="1" applyProtection="1">
      <alignment horizontal="center" vertical="center" wrapText="1"/>
      <protection locked="0"/>
    </xf>
    <xf numFmtId="0" fontId="2" fillId="0" borderId="19" xfId="3" applyFont="1" applyBorder="1" applyAlignment="1" applyProtection="1">
      <alignment horizontal="center" vertical="center" wrapText="1"/>
      <protection locked="0"/>
    </xf>
    <xf numFmtId="0" fontId="1" fillId="0" borderId="18" xfId="3" applyFont="1" applyBorder="1" applyAlignment="1" applyProtection="1">
      <alignment vertical="center" wrapText="1"/>
      <protection locked="0"/>
    </xf>
    <xf numFmtId="0" fontId="16" fillId="0" borderId="20" xfId="3" applyFont="1" applyBorder="1" applyAlignment="1" applyProtection="1">
      <alignment horizontal="left" vertical="center" wrapText="1"/>
      <protection locked="0"/>
    </xf>
    <xf numFmtId="0" fontId="2" fillId="0" borderId="21" xfId="3" applyFont="1" applyBorder="1" applyAlignment="1" applyProtection="1">
      <alignment horizontal="center" vertical="center" wrapText="1"/>
      <protection locked="0"/>
    </xf>
    <xf numFmtId="0" fontId="2" fillId="0" borderId="22" xfId="3" applyFont="1" applyBorder="1" applyAlignment="1" applyProtection="1">
      <alignment horizontal="center" vertical="center" wrapText="1"/>
      <protection locked="0"/>
    </xf>
    <xf numFmtId="0" fontId="17" fillId="0" borderId="0" xfId="0" applyFont="1" applyAlignment="1" applyProtection="1">
      <alignment horizontal="center"/>
      <protection locked="0"/>
    </xf>
    <xf numFmtId="0" fontId="9" fillId="7" borderId="0" xfId="0" applyFont="1" applyFill="1" applyProtection="1">
      <protection locked="0"/>
    </xf>
    <xf numFmtId="49" fontId="9" fillId="0" borderId="24" xfId="0" applyNumberFormat="1" applyFont="1" applyBorder="1" applyAlignment="1" applyProtection="1">
      <alignment horizontal="right" vertical="top"/>
      <protection locked="0"/>
    </xf>
    <xf numFmtId="49" fontId="9" fillId="0" borderId="35" xfId="0" applyNumberFormat="1" applyFont="1" applyBorder="1" applyAlignment="1" applyProtection="1">
      <alignment horizontal="right" vertical="top"/>
      <protection locked="0"/>
    </xf>
    <xf numFmtId="49" fontId="9" fillId="2" borderId="39" xfId="0" applyNumberFormat="1" applyFont="1" applyFill="1" applyBorder="1" applyAlignment="1" applyProtection="1">
      <alignment horizontal="right" vertical="top"/>
      <protection locked="0"/>
    </xf>
    <xf numFmtId="0" fontId="19" fillId="2" borderId="39" xfId="0" applyFont="1" applyFill="1" applyBorder="1" applyAlignment="1" applyProtection="1">
      <alignment vertical="top"/>
      <protection locked="0"/>
    </xf>
    <xf numFmtId="49" fontId="9" fillId="0" borderId="36" xfId="0" applyNumberFormat="1" applyFont="1" applyBorder="1" applyAlignment="1" applyProtection="1">
      <alignment horizontal="right" vertical="top"/>
      <protection locked="0"/>
    </xf>
    <xf numFmtId="0" fontId="9" fillId="0" borderId="36" xfId="0" applyFont="1" applyBorder="1" applyAlignment="1" applyProtection="1">
      <alignment vertical="top"/>
      <protection locked="0"/>
    </xf>
    <xf numFmtId="0" fontId="9" fillId="2" borderId="36" xfId="0" applyFont="1" applyFill="1" applyBorder="1" applyAlignment="1" applyProtection="1">
      <alignment vertical="top"/>
      <protection locked="0"/>
    </xf>
    <xf numFmtId="49" fontId="9" fillId="2" borderId="5" xfId="0" applyNumberFormat="1" applyFont="1" applyFill="1" applyBorder="1" applyAlignment="1" applyProtection="1">
      <alignment horizontal="right" vertical="top"/>
      <protection locked="0"/>
    </xf>
    <xf numFmtId="49" fontId="9" fillId="0" borderId="39" xfId="0" applyNumberFormat="1" applyFont="1" applyBorder="1" applyAlignment="1" applyProtection="1">
      <alignment horizontal="right" vertical="top"/>
      <protection locked="0"/>
    </xf>
    <xf numFmtId="0" fontId="22" fillId="0" borderId="0" xfId="3" applyFont="1" applyAlignment="1" applyProtection="1">
      <alignment horizontal="right"/>
      <protection locked="0"/>
    </xf>
    <xf numFmtId="7" fontId="1" fillId="0" borderId="1" xfId="10" applyNumberFormat="1" applyFont="1" applyBorder="1" applyProtection="1">
      <protection locked="0"/>
    </xf>
    <xf numFmtId="165" fontId="1" fillId="0" borderId="1" xfId="8" applyNumberFormat="1" applyFont="1" applyBorder="1" applyProtection="1">
      <protection locked="0"/>
    </xf>
    <xf numFmtId="0" fontId="2" fillId="2" borderId="1" xfId="3" applyFont="1" applyFill="1" applyBorder="1" applyAlignment="1" applyProtection="1">
      <alignment wrapText="1"/>
      <protection locked="0"/>
    </xf>
    <xf numFmtId="165" fontId="1" fillId="6" borderId="1" xfId="8" applyNumberFormat="1" applyFont="1" applyFill="1" applyBorder="1" applyProtection="1">
      <protection locked="0"/>
    </xf>
    <xf numFmtId="7" fontId="1" fillId="0" borderId="0" xfId="3" applyNumberFormat="1" applyFont="1" applyProtection="1">
      <protection locked="0"/>
    </xf>
    <xf numFmtId="166" fontId="0" fillId="6" borderId="1" xfId="2" applyNumberFormat="1" applyFont="1" applyFill="1" applyBorder="1" applyAlignment="1" applyProtection="1">
      <alignment horizontal="center"/>
      <protection locked="0"/>
    </xf>
    <xf numFmtId="0" fontId="8" fillId="2" borderId="36" xfId="3" applyFont="1" applyFill="1" applyBorder="1" applyAlignment="1">
      <alignment vertical="center"/>
    </xf>
    <xf numFmtId="0" fontId="8" fillId="2" borderId="5" xfId="3" applyFont="1" applyFill="1" applyBorder="1" applyAlignment="1">
      <alignment vertical="center"/>
    </xf>
    <xf numFmtId="0" fontId="8" fillId="2" borderId="28" xfId="3" applyFont="1" applyFill="1" applyBorder="1" applyAlignment="1">
      <alignment vertical="center"/>
    </xf>
    <xf numFmtId="49" fontId="7" fillId="2" borderId="1" xfId="4" applyNumberFormat="1" applyFont="1" applyFill="1" applyBorder="1" applyAlignment="1" applyProtection="1">
      <alignment horizontal="left" vertical="center"/>
      <protection locked="0"/>
    </xf>
    <xf numFmtId="166" fontId="0" fillId="6" borderId="0" xfId="2" applyNumberFormat="1" applyFont="1" applyFill="1" applyBorder="1" applyAlignment="1" applyProtection="1">
      <alignment horizontal="center"/>
      <protection locked="0"/>
    </xf>
    <xf numFmtId="165" fontId="0" fillId="6" borderId="1" xfId="1" applyNumberFormat="1" applyFont="1" applyFill="1" applyBorder="1" applyAlignment="1" applyProtection="1">
      <alignment horizontal="center"/>
    </xf>
    <xf numFmtId="4" fontId="0" fillId="0" borderId="1" xfId="0" applyNumberFormat="1" applyBorder="1" applyAlignment="1" applyProtection="1">
      <alignment horizontal="center" wrapText="1"/>
      <protection locked="0"/>
    </xf>
    <xf numFmtId="4" fontId="0" fillId="7" borderId="1" xfId="0" applyNumberFormat="1" applyFill="1" applyBorder="1" applyAlignment="1">
      <alignment horizontal="center" wrapText="1"/>
    </xf>
    <xf numFmtId="3" fontId="7" fillId="0" borderId="1" xfId="3" applyNumberFormat="1" applyFont="1" applyBorder="1" applyAlignment="1" applyProtection="1">
      <alignment vertical="center"/>
      <protection locked="0"/>
    </xf>
    <xf numFmtId="0" fontId="11" fillId="0" borderId="8" xfId="0" applyFont="1" applyBorder="1" applyProtection="1">
      <protection locked="0"/>
    </xf>
    <xf numFmtId="0" fontId="6" fillId="0" borderId="5" xfId="3" applyFont="1" applyBorder="1" applyAlignment="1">
      <alignment vertical="center"/>
    </xf>
    <xf numFmtId="0" fontId="6" fillId="0" borderId="6" xfId="3" applyFont="1" applyBorder="1" applyAlignment="1">
      <alignment vertical="center"/>
    </xf>
    <xf numFmtId="0" fontId="6" fillId="0" borderId="32" xfId="3" applyFont="1" applyBorder="1" applyAlignment="1">
      <alignment vertical="center"/>
    </xf>
    <xf numFmtId="0" fontId="10" fillId="0" borderId="6" xfId="5" applyFill="1" applyBorder="1" applyAlignment="1" applyProtection="1">
      <alignment vertical="center"/>
    </xf>
    <xf numFmtId="0" fontId="7" fillId="0" borderId="32" xfId="0" applyFont="1" applyBorder="1" applyAlignment="1">
      <alignment vertical="center" wrapText="1"/>
    </xf>
    <xf numFmtId="0" fontId="10" fillId="0" borderId="0" xfId="5" applyFill="1" applyBorder="1" applyAlignment="1" applyProtection="1">
      <alignment vertical="center"/>
    </xf>
    <xf numFmtId="0" fontId="7" fillId="0" borderId="37" xfId="0" applyFont="1" applyBorder="1" applyAlignment="1">
      <alignment vertical="center" wrapText="1"/>
    </xf>
    <xf numFmtId="0" fontId="8" fillId="0" borderId="28" xfId="3" applyFont="1" applyBorder="1" applyAlignment="1">
      <alignment vertical="center"/>
    </xf>
    <xf numFmtId="0" fontId="10" fillId="0" borderId="29" xfId="5" applyFill="1" applyBorder="1" applyAlignment="1" applyProtection="1">
      <alignment vertical="center"/>
    </xf>
    <xf numFmtId="0" fontId="7" fillId="0" borderId="40" xfId="0" applyFont="1" applyBorder="1" applyAlignment="1">
      <alignment vertical="center" wrapText="1"/>
    </xf>
    <xf numFmtId="49" fontId="0" fillId="7" borderId="25" xfId="0" applyNumberFormat="1" applyFill="1" applyBorder="1"/>
    <xf numFmtId="0" fontId="0" fillId="7" borderId="8" xfId="0" applyFill="1" applyBorder="1"/>
    <xf numFmtId="0" fontId="0" fillId="7" borderId="30" xfId="0" applyFill="1" applyBorder="1"/>
    <xf numFmtId="3" fontId="0" fillId="7" borderId="1" xfId="0" applyNumberFormat="1" applyFill="1" applyBorder="1" applyAlignment="1">
      <alignment horizontal="center" vertical="top" wrapText="1"/>
    </xf>
    <xf numFmtId="3" fontId="0" fillId="7" borderId="1" xfId="0" applyNumberFormat="1" applyFill="1" applyBorder="1" applyAlignment="1">
      <alignment horizontal="center" vertical="top"/>
    </xf>
    <xf numFmtId="3" fontId="2" fillId="7" borderId="1" xfId="0" applyNumberFormat="1" applyFont="1" applyFill="1" applyBorder="1" applyAlignment="1">
      <alignment horizontal="center"/>
    </xf>
    <xf numFmtId="164" fontId="2" fillId="7" borderId="1" xfId="0" applyNumberFormat="1" applyFont="1" applyFill="1" applyBorder="1" applyAlignment="1">
      <alignment horizontal="center"/>
    </xf>
    <xf numFmtId="3" fontId="2" fillId="7" borderId="1" xfId="0" applyNumberFormat="1" applyFont="1" applyFill="1" applyBorder="1" applyAlignment="1">
      <alignment horizontal="center" vertical="top"/>
    </xf>
    <xf numFmtId="164" fontId="2" fillId="7" borderId="1" xfId="0" applyNumberFormat="1" applyFont="1" applyFill="1" applyBorder="1" applyAlignment="1">
      <alignment horizontal="center" vertical="top"/>
    </xf>
    <xf numFmtId="0" fontId="7" fillId="2" borderId="0" xfId="3" applyFont="1" applyFill="1" applyAlignment="1" applyProtection="1">
      <alignment vertical="center"/>
      <protection locked="0"/>
    </xf>
    <xf numFmtId="0" fontId="6" fillId="0" borderId="0" xfId="3" applyFont="1" applyAlignment="1" applyProtection="1">
      <alignment horizontal="center" vertical="center" wrapText="1"/>
      <protection locked="0"/>
    </xf>
    <xf numFmtId="0" fontId="6" fillId="0" borderId="1" xfId="3" applyFont="1" applyBorder="1" applyAlignment="1" applyProtection="1">
      <alignment horizontal="centerContinuous" vertical="center"/>
      <protection locked="0"/>
    </xf>
    <xf numFmtId="0" fontId="6" fillId="2" borderId="1" xfId="3" applyFont="1" applyFill="1" applyBorder="1" applyAlignment="1" applyProtection="1">
      <alignment horizontal="center" vertical="center" wrapText="1"/>
      <protection locked="0"/>
    </xf>
    <xf numFmtId="6" fontId="28" fillId="0" borderId="1" xfId="3" applyNumberFormat="1" applyFont="1" applyBorder="1" applyAlignment="1" applyProtection="1">
      <alignment horizontal="center" vertical="center" wrapText="1"/>
      <protection locked="0"/>
    </xf>
    <xf numFmtId="0" fontId="28" fillId="0" borderId="1" xfId="3" applyFont="1" applyBorder="1" applyAlignment="1" applyProtection="1">
      <alignment horizontal="center" vertical="center" wrapText="1"/>
      <protection locked="0"/>
    </xf>
    <xf numFmtId="0" fontId="6" fillId="7" borderId="1" xfId="3" applyFont="1" applyFill="1" applyBorder="1" applyAlignment="1" applyProtection="1">
      <alignment horizontal="center" vertical="center" wrapText="1"/>
      <protection locked="0"/>
    </xf>
    <xf numFmtId="0" fontId="6" fillId="0" borderId="1" xfId="3" applyFont="1" applyBorder="1" applyAlignment="1" applyProtection="1">
      <alignment horizontal="center" vertical="center" wrapText="1"/>
      <protection locked="0"/>
    </xf>
    <xf numFmtId="0" fontId="7" fillId="6" borderId="1" xfId="3" applyFont="1" applyFill="1" applyBorder="1" applyAlignment="1" applyProtection="1">
      <alignment vertical="center"/>
      <protection locked="0"/>
    </xf>
    <xf numFmtId="0" fontId="7" fillId="6" borderId="1" xfId="3" applyFont="1" applyFill="1" applyBorder="1" applyAlignment="1" applyProtection="1">
      <alignment horizontal="center" vertical="center"/>
      <protection locked="0"/>
    </xf>
    <xf numFmtId="0" fontId="7" fillId="2" borderId="1" xfId="3" applyFont="1" applyFill="1" applyBorder="1" applyAlignment="1" applyProtection="1">
      <alignment horizontal="center" vertical="center"/>
      <protection locked="0"/>
    </xf>
    <xf numFmtId="0" fontId="6" fillId="7" borderId="1" xfId="3" applyFont="1" applyFill="1" applyBorder="1" applyAlignment="1" applyProtection="1">
      <alignment horizontal="center" vertical="center"/>
      <protection locked="0"/>
    </xf>
    <xf numFmtId="9" fontId="28" fillId="0" borderId="1" xfId="3" applyNumberFormat="1" applyFont="1" applyBorder="1" applyAlignment="1" applyProtection="1">
      <alignment horizontal="center" vertical="center" wrapText="1"/>
      <protection locked="0"/>
    </xf>
    <xf numFmtId="0" fontId="6" fillId="0" borderId="1" xfId="3" applyFont="1" applyBorder="1" applyAlignment="1" applyProtection="1">
      <alignment horizontal="center" vertical="center"/>
      <protection locked="0"/>
    </xf>
    <xf numFmtId="0" fontId="6" fillId="2" borderId="0" xfId="3" applyFont="1" applyFill="1" applyAlignment="1" applyProtection="1">
      <alignment horizontal="center" vertical="center"/>
      <protection locked="0"/>
    </xf>
    <xf numFmtId="166" fontId="7" fillId="2" borderId="0" xfId="10" applyNumberFormat="1" applyFont="1" applyFill="1" applyBorder="1" applyAlignment="1" applyProtection="1">
      <alignment vertical="center"/>
      <protection locked="0"/>
    </xf>
    <xf numFmtId="6" fontId="6" fillId="2" borderId="1" xfId="3" applyNumberFormat="1" applyFont="1" applyFill="1" applyBorder="1" applyAlignment="1" applyProtection="1">
      <alignment horizontal="center" vertical="center" wrapText="1"/>
      <protection locked="0"/>
    </xf>
    <xf numFmtId="0" fontId="6" fillId="2" borderId="39" xfId="3" applyFont="1" applyFill="1" applyBorder="1" applyAlignment="1" applyProtection="1">
      <alignment horizontal="center" vertical="center" wrapText="1"/>
      <protection locked="0"/>
    </xf>
    <xf numFmtId="166" fontId="7" fillId="7" borderId="1" xfId="10" applyNumberFormat="1" applyFont="1" applyFill="1" applyBorder="1" applyAlignment="1" applyProtection="1">
      <alignment vertical="center"/>
    </xf>
    <xf numFmtId="166" fontId="7" fillId="7" borderId="8" xfId="10" applyNumberFormat="1" applyFont="1" applyFill="1" applyBorder="1" applyAlignment="1" applyProtection="1">
      <alignment vertical="center"/>
    </xf>
    <xf numFmtId="166" fontId="7" fillId="7" borderId="24" xfId="10" applyNumberFormat="1" applyFont="1" applyFill="1" applyBorder="1" applyAlignment="1" applyProtection="1">
      <alignment vertical="center"/>
    </xf>
    <xf numFmtId="166" fontId="7" fillId="7" borderId="2" xfId="10" applyNumberFormat="1" applyFont="1" applyFill="1" applyBorder="1" applyAlignment="1" applyProtection="1">
      <alignment vertical="center"/>
    </xf>
    <xf numFmtId="164" fontId="0" fillId="0" borderId="0" xfId="0" applyNumberFormat="1" applyProtection="1">
      <protection locked="0"/>
    </xf>
  </cellXfs>
  <cellStyles count="11">
    <cellStyle name="Comma" xfId="2" builtinId="3"/>
    <cellStyle name="Comma 2" xfId="10" xr:uid="{E8C1195E-C06D-46AB-85B9-8E7B2C2E9538}"/>
    <cellStyle name="Currency 2" xfId="9" xr:uid="{89152B42-C777-4AA0-8319-531B21020B63}"/>
    <cellStyle name="Currency 3" xfId="6" xr:uid="{2060B516-4D64-42EC-AEE3-C0AE3A47FEE2}"/>
    <cellStyle name="Hyperlink" xfId="5" builtinId="8"/>
    <cellStyle name="Normal" xfId="0" builtinId="0"/>
    <cellStyle name="Normal 2" xfId="3" xr:uid="{62B6E0D3-223E-4EA2-B207-863A8E8EE95D}"/>
    <cellStyle name="Normal 2 2" xfId="7" xr:uid="{7825FDF8-7CCD-4512-8763-27EA5A71F1E9}"/>
    <cellStyle name="Normal_cover 10'01" xfId="4" xr:uid="{BFD4234E-6550-4A3E-B80B-1055F95F4502}"/>
    <cellStyle name="Percent" xfId="1" builtinId="5"/>
    <cellStyle name="Percent 2" xfId="8" xr:uid="{8FAB8ADB-F104-4D74-907C-D6251A095E23}"/>
  </cellStyles>
  <dxfs count="8">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2" defaultPivotStyle="PivotStyleLight16"/>
  <colors>
    <mruColors>
      <color rgb="FF99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984250</xdr:colOff>
          <xdr:row>10</xdr:row>
          <xdr:rowOff>0</xdr:rowOff>
        </xdr:from>
        <xdr:to>
          <xdr:col>0</xdr:col>
          <xdr:colOff>1365250</xdr:colOff>
          <xdr:row>11</xdr:row>
          <xdr:rowOff>38100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9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1746250</xdr:colOff>
          <xdr:row>10</xdr:row>
          <xdr:rowOff>31750</xdr:rowOff>
        </xdr:from>
        <xdr:to>
          <xdr:col>0</xdr:col>
          <xdr:colOff>2203450</xdr:colOff>
          <xdr:row>11</xdr:row>
          <xdr:rowOff>31750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9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ober@wellfleetinsurance.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board.coveredca.com/meetings/2016/4-07/2017%20QHP%20Issuer%20Contract_Attachment%207__Individual_4-6-2016_CLEAN.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E380F-5AD7-47DF-A7AA-8C7D6B2EFA67}">
  <sheetPr>
    <tabColor rgb="FFFFFF00"/>
  </sheetPr>
  <dimension ref="A1:H55"/>
  <sheetViews>
    <sheetView showGridLines="0" showZeros="0" tabSelected="1" zoomScale="80" zoomScaleNormal="80" zoomScaleSheetLayoutView="40" workbookViewId="0">
      <selection activeCell="C5" sqref="C5"/>
    </sheetView>
  </sheetViews>
  <sheetFormatPr defaultColWidth="8.84375" defaultRowHeight="14" x14ac:dyDescent="0.3"/>
  <cols>
    <col min="1" max="1" width="41.07421875" style="74" customWidth="1"/>
    <col min="2" max="2" width="37.07421875" style="74" customWidth="1"/>
    <col min="3" max="3" width="85.84375" style="74" customWidth="1"/>
    <col min="4" max="4" width="40.07421875" style="74" customWidth="1"/>
    <col min="5" max="5" width="8.84375" style="74" customWidth="1"/>
    <col min="6" max="16384" width="8.84375" style="74"/>
  </cols>
  <sheetData>
    <row r="1" spans="1:6" ht="15.5" x14ac:dyDescent="0.35">
      <c r="A1" s="3" t="s">
        <v>60</v>
      </c>
      <c r="B1" s="73"/>
    </row>
    <row r="2" spans="1:6" ht="15.5" x14ac:dyDescent="0.35">
      <c r="A2" s="3" t="s">
        <v>366</v>
      </c>
    </row>
    <row r="4" spans="1:6" ht="15.5" x14ac:dyDescent="0.35">
      <c r="A4" s="75"/>
      <c r="B4" s="76"/>
      <c r="C4" s="77"/>
    </row>
    <row r="5" spans="1:6" ht="15.5" x14ac:dyDescent="0.3">
      <c r="A5" s="78" t="s">
        <v>61</v>
      </c>
      <c r="B5" s="79" t="s">
        <v>75</v>
      </c>
      <c r="C5" s="80">
        <v>2025</v>
      </c>
    </row>
    <row r="6" spans="1:6" ht="15.5" x14ac:dyDescent="0.3">
      <c r="A6" s="78" t="s">
        <v>193</v>
      </c>
      <c r="B6" s="79" t="s">
        <v>63</v>
      </c>
      <c r="C6" s="80">
        <v>32280</v>
      </c>
    </row>
    <row r="7" spans="1:6" ht="15.5" x14ac:dyDescent="0.3">
      <c r="A7" s="78" t="s">
        <v>62</v>
      </c>
      <c r="B7" s="79" t="s">
        <v>362</v>
      </c>
      <c r="C7" s="81" t="s">
        <v>520</v>
      </c>
    </row>
    <row r="8" spans="1:6" ht="15.5" x14ac:dyDescent="0.3">
      <c r="A8" s="78" t="s">
        <v>64</v>
      </c>
      <c r="B8" s="79" t="s">
        <v>66</v>
      </c>
      <c r="C8" s="346"/>
    </row>
    <row r="9" spans="1:6" ht="15.5" x14ac:dyDescent="0.3">
      <c r="A9" s="78" t="s">
        <v>65</v>
      </c>
      <c r="B9" s="79" t="s">
        <v>68</v>
      </c>
      <c r="C9" s="81" t="s">
        <v>521</v>
      </c>
    </row>
    <row r="10" spans="1:6" ht="15.5" x14ac:dyDescent="0.3">
      <c r="A10" s="78" t="s">
        <v>67</v>
      </c>
      <c r="B10" s="79" t="s">
        <v>70</v>
      </c>
      <c r="C10" s="82" t="s">
        <v>522</v>
      </c>
    </row>
    <row r="11" spans="1:6" ht="15.5" x14ac:dyDescent="0.3">
      <c r="A11" s="78" t="s">
        <v>69</v>
      </c>
      <c r="B11" s="79" t="s">
        <v>72</v>
      </c>
      <c r="C11" s="81" t="s">
        <v>523</v>
      </c>
    </row>
    <row r="12" spans="1:6" ht="15.5" x14ac:dyDescent="0.3">
      <c r="A12" s="78" t="s">
        <v>71</v>
      </c>
      <c r="B12" s="79" t="s">
        <v>73</v>
      </c>
      <c r="C12" s="81" t="s">
        <v>524</v>
      </c>
    </row>
    <row r="13" spans="1:6" ht="15.5" x14ac:dyDescent="0.3">
      <c r="B13" s="83"/>
      <c r="C13" s="84"/>
      <c r="D13" s="85"/>
    </row>
    <row r="14" spans="1:6" ht="15.5" x14ac:dyDescent="0.35">
      <c r="A14" s="86" t="s">
        <v>434</v>
      </c>
      <c r="B14" s="86"/>
      <c r="C14" s="84"/>
      <c r="D14" s="85"/>
    </row>
    <row r="15" spans="1:6" ht="15.5" x14ac:dyDescent="0.35">
      <c r="B15" s="87"/>
      <c r="C15" s="73"/>
      <c r="D15" s="73"/>
      <c r="E15" s="73"/>
      <c r="F15" s="73"/>
    </row>
    <row r="16" spans="1:6" ht="15.5" x14ac:dyDescent="0.35">
      <c r="A16" s="353" t="s">
        <v>252</v>
      </c>
      <c r="B16" s="354" t="s">
        <v>74</v>
      </c>
      <c r="C16" s="355" t="s">
        <v>76</v>
      </c>
      <c r="D16" s="73"/>
    </row>
    <row r="17" spans="1:4" ht="31" x14ac:dyDescent="0.35">
      <c r="A17" s="88" t="s">
        <v>457</v>
      </c>
      <c r="B17" s="356" t="s">
        <v>367</v>
      </c>
      <c r="C17" s="357" t="s">
        <v>386</v>
      </c>
      <c r="D17" s="73"/>
    </row>
    <row r="18" spans="1:4" ht="31" x14ac:dyDescent="0.35">
      <c r="A18" s="91" t="s">
        <v>457</v>
      </c>
      <c r="B18" s="358" t="s">
        <v>367</v>
      </c>
      <c r="C18" s="359" t="s">
        <v>78</v>
      </c>
      <c r="D18" s="73"/>
    </row>
    <row r="19" spans="1:4" ht="15.5" x14ac:dyDescent="0.35">
      <c r="A19" s="91" t="s">
        <v>457</v>
      </c>
      <c r="B19" s="358" t="s">
        <v>367</v>
      </c>
      <c r="C19" s="359" t="s">
        <v>77</v>
      </c>
      <c r="D19" s="73"/>
    </row>
    <row r="20" spans="1:4" ht="15.5" x14ac:dyDescent="0.35">
      <c r="A20" s="91" t="s">
        <v>457</v>
      </c>
      <c r="B20" s="358" t="s">
        <v>367</v>
      </c>
      <c r="C20" s="359" t="s">
        <v>436</v>
      </c>
      <c r="D20" s="73"/>
    </row>
    <row r="21" spans="1:4" ht="31" x14ac:dyDescent="0.35">
      <c r="A21" s="91" t="s">
        <v>457</v>
      </c>
      <c r="B21" s="358" t="s">
        <v>368</v>
      </c>
      <c r="C21" s="359" t="s">
        <v>445</v>
      </c>
      <c r="D21" s="73"/>
    </row>
    <row r="22" spans="1:4" ht="15.5" x14ac:dyDescent="0.35">
      <c r="A22" s="91" t="s">
        <v>457</v>
      </c>
      <c r="B22" s="358" t="s">
        <v>369</v>
      </c>
      <c r="C22" s="359" t="s">
        <v>355</v>
      </c>
      <c r="D22" s="73"/>
    </row>
    <row r="23" spans="1:4" ht="31" x14ac:dyDescent="0.35">
      <c r="A23" s="91" t="s">
        <v>457</v>
      </c>
      <c r="B23" s="358" t="s">
        <v>370</v>
      </c>
      <c r="C23" s="359" t="s">
        <v>356</v>
      </c>
      <c r="D23" s="73"/>
    </row>
    <row r="24" spans="1:4" ht="31" x14ac:dyDescent="0.35">
      <c r="A24" s="91" t="s">
        <v>457</v>
      </c>
      <c r="B24" s="358" t="s">
        <v>370</v>
      </c>
      <c r="C24" s="359" t="s">
        <v>357</v>
      </c>
      <c r="D24" s="73"/>
    </row>
    <row r="25" spans="1:4" ht="15.5" x14ac:dyDescent="0.35">
      <c r="A25" s="91" t="s">
        <v>457</v>
      </c>
      <c r="B25" s="358" t="s">
        <v>371</v>
      </c>
      <c r="C25" s="359" t="s">
        <v>358</v>
      </c>
      <c r="D25" s="73"/>
    </row>
    <row r="26" spans="1:4" ht="15.5" x14ac:dyDescent="0.35">
      <c r="A26" s="91" t="s">
        <v>457</v>
      </c>
      <c r="B26" s="358" t="s">
        <v>513</v>
      </c>
      <c r="C26" s="359" t="s">
        <v>463</v>
      </c>
      <c r="D26" s="73"/>
    </row>
    <row r="27" spans="1:4" ht="15.5" x14ac:dyDescent="0.35">
      <c r="A27" s="91" t="s">
        <v>457</v>
      </c>
      <c r="B27" s="358" t="s">
        <v>514</v>
      </c>
      <c r="C27" s="359" t="s">
        <v>464</v>
      </c>
      <c r="D27" s="73"/>
    </row>
    <row r="28" spans="1:4" ht="15.5" x14ac:dyDescent="0.3">
      <c r="A28" s="91" t="s">
        <v>457</v>
      </c>
      <c r="B28" s="358" t="s">
        <v>372</v>
      </c>
      <c r="C28" s="359" t="s">
        <v>359</v>
      </c>
    </row>
    <row r="29" spans="1:4" ht="31" x14ac:dyDescent="0.3">
      <c r="A29" s="91" t="s">
        <v>457</v>
      </c>
      <c r="B29" s="358" t="s">
        <v>373</v>
      </c>
      <c r="C29" s="359" t="s">
        <v>360</v>
      </c>
    </row>
    <row r="30" spans="1:4" ht="15.5" x14ac:dyDescent="0.3">
      <c r="A30" s="91" t="s">
        <v>457</v>
      </c>
      <c r="B30" s="358" t="s">
        <v>374</v>
      </c>
      <c r="C30" s="359" t="s">
        <v>361</v>
      </c>
      <c r="D30" s="94"/>
    </row>
    <row r="31" spans="1:4" ht="31" x14ac:dyDescent="0.3">
      <c r="A31" s="91" t="s">
        <v>457</v>
      </c>
      <c r="B31" s="358" t="s">
        <v>375</v>
      </c>
      <c r="C31" s="359" t="s">
        <v>446</v>
      </c>
    </row>
    <row r="32" spans="1:4" ht="15.5" x14ac:dyDescent="0.3">
      <c r="A32" s="91" t="s">
        <v>457</v>
      </c>
      <c r="B32" s="358" t="s">
        <v>376</v>
      </c>
      <c r="C32" s="359" t="s">
        <v>180</v>
      </c>
    </row>
    <row r="33" spans="1:8" ht="15.5" x14ac:dyDescent="0.3">
      <c r="A33" s="360" t="s">
        <v>457</v>
      </c>
      <c r="B33" s="361" t="s">
        <v>427</v>
      </c>
      <c r="C33" s="362" t="s">
        <v>428</v>
      </c>
    </row>
    <row r="34" spans="1:8" ht="15.5" x14ac:dyDescent="0.3">
      <c r="A34" s="91"/>
      <c r="B34" s="92"/>
      <c r="C34" s="93"/>
    </row>
    <row r="35" spans="1:8" ht="31" x14ac:dyDescent="0.3">
      <c r="A35" s="343" t="s">
        <v>253</v>
      </c>
      <c r="B35" s="97" t="s">
        <v>377</v>
      </c>
      <c r="C35" s="98" t="s">
        <v>352</v>
      </c>
    </row>
    <row r="36" spans="1:8" ht="31" x14ac:dyDescent="0.3">
      <c r="A36" s="343" t="s">
        <v>253</v>
      </c>
      <c r="B36" s="97" t="s">
        <v>378</v>
      </c>
      <c r="C36" s="98" t="s">
        <v>353</v>
      </c>
    </row>
    <row r="37" spans="1:8" ht="31" x14ac:dyDescent="0.3">
      <c r="A37" s="343" t="s">
        <v>253</v>
      </c>
      <c r="B37" s="97" t="s">
        <v>379</v>
      </c>
      <c r="C37" s="98" t="s">
        <v>354</v>
      </c>
    </row>
    <row r="38" spans="1:8" ht="15.5" x14ac:dyDescent="0.3">
      <c r="A38" s="88"/>
      <c r="B38" s="99"/>
      <c r="C38" s="100"/>
    </row>
    <row r="39" spans="1:8" ht="31" x14ac:dyDescent="0.3">
      <c r="A39" s="344" t="s">
        <v>258</v>
      </c>
      <c r="B39" s="89" t="s">
        <v>380</v>
      </c>
      <c r="C39" s="90" t="s">
        <v>447</v>
      </c>
    </row>
    <row r="40" spans="1:8" ht="31" x14ac:dyDescent="0.3">
      <c r="A40" s="343" t="s">
        <v>258</v>
      </c>
      <c r="B40" s="64" t="s">
        <v>381</v>
      </c>
      <c r="C40" s="93" t="s">
        <v>448</v>
      </c>
      <c r="D40" s="94"/>
      <c r="E40" s="94"/>
      <c r="F40" s="94"/>
      <c r="G40" s="94"/>
      <c r="H40" s="94"/>
    </row>
    <row r="41" spans="1:8" ht="31" x14ac:dyDescent="0.35">
      <c r="A41" s="343" t="s">
        <v>258</v>
      </c>
      <c r="B41" s="63" t="s">
        <v>382</v>
      </c>
      <c r="C41" s="93" t="s">
        <v>449</v>
      </c>
      <c r="D41" s="94"/>
      <c r="E41" s="94"/>
      <c r="F41" s="94"/>
      <c r="G41" s="94"/>
      <c r="H41" s="94"/>
    </row>
    <row r="42" spans="1:8" ht="15.5" x14ac:dyDescent="0.3">
      <c r="A42" s="343" t="s">
        <v>258</v>
      </c>
      <c r="B42" s="92" t="s">
        <v>383</v>
      </c>
      <c r="C42" s="93" t="s">
        <v>450</v>
      </c>
      <c r="D42" s="94"/>
      <c r="E42" s="94"/>
      <c r="F42" s="94"/>
      <c r="G42" s="94"/>
      <c r="H42" s="94"/>
    </row>
    <row r="43" spans="1:8" ht="31" x14ac:dyDescent="0.3">
      <c r="A43" s="343" t="s">
        <v>258</v>
      </c>
      <c r="B43" s="92" t="s">
        <v>384</v>
      </c>
      <c r="C43" s="93" t="s">
        <v>451</v>
      </c>
      <c r="D43" s="94"/>
      <c r="E43" s="94"/>
      <c r="F43" s="94"/>
      <c r="G43" s="94"/>
      <c r="H43" s="94"/>
    </row>
    <row r="44" spans="1:8" ht="31" x14ac:dyDescent="0.3">
      <c r="A44" s="343" t="s">
        <v>258</v>
      </c>
      <c r="B44" s="64" t="s">
        <v>385</v>
      </c>
      <c r="C44" s="93" t="s">
        <v>452</v>
      </c>
    </row>
    <row r="45" spans="1:8" ht="15.5" x14ac:dyDescent="0.3">
      <c r="A45" s="345" t="s">
        <v>258</v>
      </c>
      <c r="B45" s="95" t="s">
        <v>392</v>
      </c>
      <c r="C45" s="96" t="s">
        <v>444</v>
      </c>
    </row>
    <row r="46" spans="1:8" ht="15.5" x14ac:dyDescent="0.3">
      <c r="C46" s="93"/>
    </row>
    <row r="49" spans="3:3" ht="15.5" x14ac:dyDescent="0.3">
      <c r="C49" s="101"/>
    </row>
    <row r="50" spans="3:3" ht="15.5" x14ac:dyDescent="0.3">
      <c r="C50" s="101"/>
    </row>
    <row r="51" spans="3:3" ht="15.5" x14ac:dyDescent="0.3">
      <c r="C51" s="101"/>
    </row>
    <row r="52" spans="3:3" ht="15.5" x14ac:dyDescent="0.3">
      <c r="C52" s="101"/>
    </row>
    <row r="53" spans="3:3" ht="15.5" x14ac:dyDescent="0.3">
      <c r="C53" s="101"/>
    </row>
    <row r="54" spans="3:3" ht="15.5" x14ac:dyDescent="0.3">
      <c r="C54" s="101"/>
    </row>
    <row r="55" spans="3:3" ht="15.5" x14ac:dyDescent="0.3">
      <c r="C55" s="101"/>
    </row>
  </sheetData>
  <dataValidations count="2">
    <dataValidation type="textLength" operator="lessThanOrEqual" allowBlank="1" showInputMessage="1" showErrorMessage="1" errorTitle="Too Many Characters" error="The maximum number of characters that can be entered is 105." sqref="C5:C11" xr:uid="{2A558949-8A09-430D-B7CF-C5F6D58DAC51}">
      <formula1>150</formula1>
    </dataValidation>
    <dataValidation type="list" operator="lessThanOrEqual" allowBlank="1" showInputMessage="1" showErrorMessage="1" errorTitle="Too Many Characters" error="The maximum number of characters that can be entered is 105." sqref="D13:D14 C12" xr:uid="{77F1CAFF-2068-4604-85A9-D20B72534BCB}">
      <formula1>"Initial, Resubmission"</formula1>
    </dataValidation>
  </dataValidations>
  <hyperlinks>
    <hyperlink ref="B21" location="'LGARD-#7-ProductsSold'!A9" display="LGARD-#7-ProductsSold" xr:uid="{D4EC112F-BEF2-4574-AD8B-66F46DC1CCBF}"/>
    <hyperlink ref="B22" location="'LGARD-#8-BaseRateFactors'!A9" display="LGARD-#8-BaseRateFactors" xr:uid="{3F0A34BD-A4A6-459E-BD43-057EDC58BC07}"/>
    <hyperlink ref="B25" location="'LGARD-#11-HistData'!A9" display="LGARD-#11-HistData" xr:uid="{0CBB6576-FB97-4721-BE2E-BF268F721472}"/>
    <hyperlink ref="B26" location="'LGARD-#12a-EECostSharing'!A1" display="LGARD-#12a-EECostSharing" xr:uid="{30A0394F-6792-49E3-A0A0-FF3927FF415D}"/>
    <hyperlink ref="B28" location="'LGARD-#13-EEBenefitChanges'!A9" display="LGARD-#13-EEBenefits" xr:uid="{2732BC0F-87D8-4BAE-A0A4-204BC057E327}"/>
    <hyperlink ref="B29" location="'LGARD-#14-CCQIEfforts'!A9" display="LGARD-#14-CCQIEfforts" xr:uid="{4C023EB6-3640-4940-A826-15100CF8C34B}"/>
    <hyperlink ref="B30" location="'LGARD-#15-ExciseTaxes'!A9" display="LGARD-#15-ExciseTaxes" xr:uid="{5E97BBA2-D4E8-4D16-A984-BB86A82E3816}"/>
    <hyperlink ref="B31" location="'LGARD-#16-LGRxReport'!A9" display="LGARD-#16-LGRxReport" xr:uid="{7BA8058F-D5F2-4BC4-B6E6-BC855F30DAA6}"/>
    <hyperlink ref="B32" location="'LGARD-#17-OtherComments'!A9" display="LGARD-#17-OtherComments" xr:uid="{407B4D32-2292-4C1D-8EC0-4CC913D46584}"/>
    <hyperlink ref="B23" location="'LGARD-#9-#10-TrendFactors'!A9" display="LGARD-#9-#10-TrendFactors" xr:uid="{547B8204-F80A-4001-B6F5-475FBA686D99}"/>
    <hyperlink ref="B35" location="'LGHistData-HMO'!A1" display="LGHistData-HMO" xr:uid="{D16CD49D-F844-4B29-A9FC-B55E84983F51}"/>
    <hyperlink ref="B36" location="'LGHistData-PPO'!A1" display="LGHistData-PPO" xr:uid="{7A6580D3-818F-41F9-91DE-1C6E6747CEA4}"/>
    <hyperlink ref="B37" location="'LGHistData-Summary'!A1" display="LGHistData-Summary" xr:uid="{925D35C0-27B8-442D-8308-35EFCE32AC01}"/>
    <hyperlink ref="B39" location="'LGPDCD-PharmPctPrem'!A1" display="LGPDCD-PharmPctPrem" xr:uid="{91276C7D-FD87-4036-B570-F93B28243B7A}"/>
    <hyperlink ref="B42" location="'LGPDCD-SpecTierForm'!A1" display="LGPDCD-SpecTierForm" xr:uid="{21C45C6C-89AE-4E47-92B5-12CAAC199376}"/>
    <hyperlink ref="B43" location="'LGPDCD-PharmDocOff'!A1" display="LGPDCD-PharmDocOff" xr:uid="{FBB9DF4E-3D97-4526-B091-0824781B0170}"/>
    <hyperlink ref="B18:B20" location="'LGARD -#7 - Products Sold'!A9" display="LGARD-#7 Products Sold" xr:uid="{D092AF9A-D6BA-4E2E-AD6E-D60F3611D269}"/>
    <hyperlink ref="B24" location="'LGARD-#9-#10-TrendFactors'!A38" display="LGARD-#9-#10-TrendFactors" xr:uid="{201CAE29-3EFD-4499-9A19-43E45CC31B79}"/>
    <hyperlink ref="B18" location="'LGARD-#3-#6 RateChanges'!A28" display="LGARD-#3-#6-RateChanges" xr:uid="{E9133E64-5821-4E68-B03D-F37E76CE0449}"/>
    <hyperlink ref="B17" location="'LGARD-#3-#6 RateChanges'!A9" display="LGARD-#3-#6-RateChanges" xr:uid="{F464B5F0-31D8-4C9E-B57D-7483B9DCF66B}"/>
    <hyperlink ref="B19" location="'LGARD-#3-#6 RateChanges'!A68" display="LGARD-#3-#6-RateChanges" xr:uid="{429D2C66-7362-43FE-8D4B-ED6D59E6FB30}"/>
    <hyperlink ref="B20" location="'LGARD-#3-#6 RateChanges'!A93" display="LGARD-#3-#6-RateChanges" xr:uid="{8529B0EA-301E-4625-A20D-6B457C30427D}"/>
    <hyperlink ref="B45" location="'LGPDCD-RxGlossary'!A1" display="LGPDCD-RxGlossary" xr:uid="{6A9C1333-A147-4DE7-A58A-AE8B1DA8F3C4}"/>
    <hyperlink ref="B44" location="'LGPDCD-PharmBenMgr'!A1" display="LGPDCD-PharmBenMgr" xr:uid="{A6171400-F078-45AA-BA12-17FCE4EA1B36}"/>
    <hyperlink ref="B40" location="'LGPDCD-YoYTotalPlanSpnd'!A1" display="LGPDCD-YoYTotalPlanSpnd" xr:uid="{432A0621-8573-45B0-A493-2A2B3046AA09}"/>
    <hyperlink ref="B33" location="'LGARD-#18-AdditionalInfo'!A1" display="LGARD-#18-AdditionalInfo" xr:uid="{F2C9409F-E8F2-45E3-A52F-4DE0B736A812}"/>
    <hyperlink ref="B41" location="'LGPDCD-YoYcompofPrem'!Print_Area" display="LGPDCD-YoYCompofPrem" xr:uid="{6FFA094C-A254-43DA-9CF5-9710BF53BCB3}"/>
    <hyperlink ref="B27" location="'LGARD-#12b-EECostSharing'!A1" display="LGARD-#12b-EECostSharing" xr:uid="{F82203FD-362E-4E29-AC5E-C0A33D7DC8ED}"/>
    <hyperlink ref="C10" r:id="rId1" xr:uid="{50C3B315-FC4A-4D5E-ABFA-04BA546886D6}"/>
  </hyperlinks>
  <printOptions horizontalCentered="1"/>
  <pageMargins left="0.7" right="0.7" top="0.75" bottom="0.75" header="0.3" footer="0.3"/>
  <pageSetup scale="65" orientation="landscape" r:id="rId2"/>
  <headerFooter>
    <oddFooter>&amp;L&amp;A
Version Date: June 2, 2025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13D0-DF46-4B1B-A5E9-60D3706D9200}">
  <dimension ref="B1:E41"/>
  <sheetViews>
    <sheetView showGridLines="0" topLeftCell="A8" workbookViewId="0">
      <selection activeCell="C16" sqref="C16"/>
    </sheetView>
  </sheetViews>
  <sheetFormatPr defaultColWidth="8.84375" defaultRowHeight="15.5" x14ac:dyDescent="0.35"/>
  <cols>
    <col min="1" max="1" width="1.53515625" style="105" customWidth="1"/>
    <col min="2" max="2" width="9.84375" style="105" customWidth="1"/>
    <col min="3" max="3" width="17.84375" style="105" customWidth="1"/>
    <col min="4" max="4" width="8.84375" style="105"/>
    <col min="5" max="5" width="106.3046875" style="105" customWidth="1"/>
    <col min="6" max="16384" width="8.84375" style="105"/>
  </cols>
  <sheetData>
    <row r="1" spans="2:5" ht="18" x14ac:dyDescent="0.4">
      <c r="B1" s="104" t="s">
        <v>47</v>
      </c>
    </row>
    <row r="3" spans="2:5" x14ac:dyDescent="0.35">
      <c r="B3" s="171" t="str">
        <f>'Cover-Input Page '!$C7</f>
        <v>Wellfleet Insurance Company</v>
      </c>
      <c r="C3" s="154"/>
    </row>
    <row r="4" spans="2:5" ht="16" thickBot="1" x14ac:dyDescent="0.4">
      <c r="B4" s="172" t="str">
        <f>"Reporting Year: "&amp;'Cover-Input Page '!$C5</f>
        <v>Reporting Year: 2025</v>
      </c>
      <c r="C4" s="154"/>
    </row>
    <row r="5" spans="2:5" ht="16" thickBot="1" x14ac:dyDescent="0.4"/>
    <row r="6" spans="2:5" ht="16" thickBot="1" x14ac:dyDescent="0.4">
      <c r="B6" s="111" t="s">
        <v>55</v>
      </c>
      <c r="C6" s="113"/>
      <c r="D6" s="113"/>
    </row>
    <row r="8" spans="2:5" x14ac:dyDescent="0.35">
      <c r="C8" s="105" t="s">
        <v>152</v>
      </c>
    </row>
    <row r="9" spans="2:5" x14ac:dyDescent="0.35">
      <c r="C9" s="105" t="s">
        <v>153</v>
      </c>
    </row>
    <row r="10" spans="2:5" x14ac:dyDescent="0.35">
      <c r="C10" s="105" t="s">
        <v>154</v>
      </c>
    </row>
    <row r="11" spans="2:5" x14ac:dyDescent="0.35">
      <c r="C11" s="105" t="s">
        <v>155</v>
      </c>
    </row>
    <row r="12" spans="2:5" x14ac:dyDescent="0.35">
      <c r="C12" s="105" t="s">
        <v>156</v>
      </c>
    </row>
    <row r="13" spans="2:5" x14ac:dyDescent="0.35">
      <c r="C13" s="105" t="s">
        <v>157</v>
      </c>
    </row>
    <row r="15" spans="2:5" x14ac:dyDescent="0.35">
      <c r="C15" s="105" t="s">
        <v>100</v>
      </c>
    </row>
    <row r="16" spans="2:5" x14ac:dyDescent="0.35">
      <c r="C16" s="130" t="s">
        <v>1892</v>
      </c>
      <c r="D16" s="131"/>
      <c r="E16" s="132"/>
    </row>
    <row r="17" spans="3:5" x14ac:dyDescent="0.35">
      <c r="C17" s="133"/>
      <c r="E17" s="134"/>
    </row>
    <row r="18" spans="3:5" x14ac:dyDescent="0.35">
      <c r="C18" s="133"/>
      <c r="E18" s="134"/>
    </row>
    <row r="19" spans="3:5" x14ac:dyDescent="0.35">
      <c r="C19" s="133"/>
      <c r="E19" s="134"/>
    </row>
    <row r="20" spans="3:5" x14ac:dyDescent="0.35">
      <c r="C20" s="140"/>
      <c r="E20" s="134"/>
    </row>
    <row r="21" spans="3:5" x14ac:dyDescent="0.35">
      <c r="C21" s="140"/>
      <c r="E21" s="134"/>
    </row>
    <row r="22" spans="3:5" x14ac:dyDescent="0.35">
      <c r="C22" s="140"/>
      <c r="E22" s="134"/>
    </row>
    <row r="23" spans="3:5" x14ac:dyDescent="0.35">
      <c r="C23" s="140"/>
      <c r="E23" s="134"/>
    </row>
    <row r="24" spans="3:5" x14ac:dyDescent="0.35">
      <c r="C24" s="140"/>
      <c r="E24" s="134"/>
    </row>
    <row r="25" spans="3:5" x14ac:dyDescent="0.35">
      <c r="C25" s="140"/>
      <c r="E25" s="134"/>
    </row>
    <row r="26" spans="3:5" x14ac:dyDescent="0.35">
      <c r="C26" s="140"/>
      <c r="E26" s="134"/>
    </row>
    <row r="27" spans="3:5" x14ac:dyDescent="0.35">
      <c r="C27" s="140"/>
      <c r="E27" s="134"/>
    </row>
    <row r="28" spans="3:5" x14ac:dyDescent="0.35">
      <c r="C28" s="140"/>
      <c r="E28" s="134"/>
    </row>
    <row r="29" spans="3:5" x14ac:dyDescent="0.35">
      <c r="C29" s="140"/>
      <c r="E29" s="134"/>
    </row>
    <row r="30" spans="3:5" x14ac:dyDescent="0.35">
      <c r="C30" s="140"/>
      <c r="E30" s="134"/>
    </row>
    <row r="31" spans="3:5" x14ac:dyDescent="0.35">
      <c r="C31" s="140"/>
      <c r="E31" s="134"/>
    </row>
    <row r="32" spans="3:5" x14ac:dyDescent="0.35">
      <c r="C32" s="140"/>
      <c r="E32" s="134"/>
    </row>
    <row r="33" spans="3:5" x14ac:dyDescent="0.35">
      <c r="C33" s="140"/>
      <c r="E33" s="134"/>
    </row>
    <row r="34" spans="3:5" x14ac:dyDescent="0.35">
      <c r="C34" s="140"/>
      <c r="E34" s="134"/>
    </row>
    <row r="35" spans="3:5" x14ac:dyDescent="0.35">
      <c r="C35" s="140"/>
      <c r="E35" s="134"/>
    </row>
    <row r="36" spans="3:5" x14ac:dyDescent="0.35">
      <c r="C36" s="140"/>
      <c r="E36" s="134"/>
    </row>
    <row r="37" spans="3:5" x14ac:dyDescent="0.35">
      <c r="C37" s="140"/>
      <c r="E37" s="134"/>
    </row>
    <row r="38" spans="3:5" x14ac:dyDescent="0.35">
      <c r="C38" s="140"/>
      <c r="E38" s="134"/>
    </row>
    <row r="39" spans="3:5" x14ac:dyDescent="0.35">
      <c r="C39" s="140"/>
      <c r="E39" s="134"/>
    </row>
    <row r="40" spans="3:5" x14ac:dyDescent="0.35">
      <c r="C40" s="140"/>
      <c r="E40" s="134"/>
    </row>
    <row r="41" spans="3:5" x14ac:dyDescent="0.35">
      <c r="C41" s="141"/>
      <c r="D41" s="116"/>
      <c r="E41" s="136"/>
    </row>
  </sheetData>
  <sheetProtection algorithmName="SHA-512" hashValue="PvYkA6ds+84oc+TpaDsrPyb3AK7g1GfCpqZPCnmJM4GRmTpoKobtFw7f4e3nzsXq26xU2j/A7xHzJAg+rf73SQ==" saltValue="Q4cemQZ4hu95AoIN4tZEBQ==" spinCount="100000" sheet="1" objects="1" scenarios="1"/>
  <pageMargins left="0.7" right="0.7" top="0.75" bottom="0.75" header="0.3" footer="0.3"/>
  <pageSetup orientation="portrait" r:id="rId1"/>
  <headerFooter>
    <oddFooter>&amp;L&amp;A
Version Date: June 2, 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DE1F8-731C-415A-B2B9-5CD4FA8BB766}">
  <dimension ref="B1:I67"/>
  <sheetViews>
    <sheetView showGridLines="0" topLeftCell="A15" workbookViewId="0">
      <selection activeCell="C28" sqref="C28"/>
    </sheetView>
  </sheetViews>
  <sheetFormatPr defaultColWidth="8.84375" defaultRowHeight="15.5" x14ac:dyDescent="0.35"/>
  <cols>
    <col min="1" max="1" width="3.07421875" style="105" customWidth="1"/>
    <col min="2" max="2" width="7.07421875" style="105" customWidth="1"/>
    <col min="3" max="3" width="12.07421875" style="105" customWidth="1"/>
    <col min="4" max="4" width="8.84375" style="105" customWidth="1"/>
    <col min="5" max="7" width="8.84375" style="105"/>
    <col min="8" max="8" width="66.4609375" style="105" customWidth="1"/>
    <col min="9" max="16384" width="8.84375" style="105"/>
  </cols>
  <sheetData>
    <row r="1" spans="2:7" ht="18" x14ac:dyDescent="0.4">
      <c r="B1" s="104" t="s">
        <v>47</v>
      </c>
    </row>
    <row r="3" spans="2:7" x14ac:dyDescent="0.35">
      <c r="B3" s="171" t="str">
        <f>'Cover-Input Page '!$C7</f>
        <v>Wellfleet Insurance Company</v>
      </c>
      <c r="C3" s="154"/>
      <c r="D3" s="154"/>
    </row>
    <row r="4" spans="2:7" x14ac:dyDescent="0.35">
      <c r="B4" s="177" t="str">
        <f>"Reporting Year: "&amp;'Cover-Input Page '!$C5</f>
        <v>Reporting Year: 2025</v>
      </c>
      <c r="C4" s="154"/>
      <c r="D4" s="154"/>
    </row>
    <row r="5" spans="2:7" ht="16" thickBot="1" x14ac:dyDescent="0.4"/>
    <row r="6" spans="2:7" ht="16" thickBot="1" x14ac:dyDescent="0.4">
      <c r="B6" s="111" t="s">
        <v>56</v>
      </c>
      <c r="C6" s="112"/>
      <c r="D6" s="113"/>
      <c r="E6" s="112"/>
      <c r="F6" s="112"/>
      <c r="G6" s="113"/>
    </row>
    <row r="8" spans="2:7" x14ac:dyDescent="0.35">
      <c r="C8" s="105" t="s">
        <v>158</v>
      </c>
    </row>
    <row r="9" spans="2:7" x14ac:dyDescent="0.35">
      <c r="C9" s="105" t="s">
        <v>159</v>
      </c>
    </row>
    <row r="10" spans="2:7" x14ac:dyDescent="0.35">
      <c r="C10" s="105" t="s">
        <v>459</v>
      </c>
    </row>
    <row r="11" spans="2:7" x14ac:dyDescent="0.35">
      <c r="C11" s="105" t="s">
        <v>442</v>
      </c>
    </row>
    <row r="12" spans="2:7" x14ac:dyDescent="0.35">
      <c r="C12" s="105" t="s">
        <v>441</v>
      </c>
    </row>
    <row r="14" spans="2:7" x14ac:dyDescent="0.35">
      <c r="D14" s="105" t="s">
        <v>160</v>
      </c>
    </row>
    <row r="15" spans="2:7" x14ac:dyDescent="0.35">
      <c r="D15" s="105" t="s">
        <v>161</v>
      </c>
    </row>
    <row r="16" spans="2:7" x14ac:dyDescent="0.35">
      <c r="D16" s="105" t="s">
        <v>162</v>
      </c>
    </row>
    <row r="17" spans="3:9" x14ac:dyDescent="0.35">
      <c r="D17" s="105" t="s">
        <v>163</v>
      </c>
    </row>
    <row r="18" spans="3:9" x14ac:dyDescent="0.35">
      <c r="D18" s="105" t="s">
        <v>164</v>
      </c>
    </row>
    <row r="19" spans="3:9" x14ac:dyDescent="0.35">
      <c r="D19" s="105" t="s">
        <v>165</v>
      </c>
    </row>
    <row r="20" spans="3:9" x14ac:dyDescent="0.35">
      <c r="D20" s="105" t="s">
        <v>166</v>
      </c>
    </row>
    <row r="21" spans="3:9" x14ac:dyDescent="0.35">
      <c r="D21" s="105" t="s">
        <v>167</v>
      </c>
    </row>
    <row r="23" spans="3:9" x14ac:dyDescent="0.35">
      <c r="C23" s="105" t="s">
        <v>169</v>
      </c>
    </row>
    <row r="24" spans="3:9" x14ac:dyDescent="0.35">
      <c r="C24" s="200" t="s">
        <v>168</v>
      </c>
      <c r="D24" s="200"/>
      <c r="E24" s="200"/>
      <c r="F24" s="200"/>
      <c r="G24" s="200"/>
      <c r="H24" s="200"/>
      <c r="I24" s="200"/>
    </row>
    <row r="26" spans="3:9" ht="16" thickBot="1" x14ac:dyDescent="0.4">
      <c r="C26" s="105" t="s">
        <v>100</v>
      </c>
    </row>
    <row r="27" spans="3:9" x14ac:dyDescent="0.35">
      <c r="C27" s="165"/>
      <c r="D27" s="107"/>
      <c r="E27" s="107"/>
      <c r="F27" s="107"/>
      <c r="G27" s="107"/>
      <c r="H27" s="108"/>
    </row>
    <row r="28" spans="3:9" x14ac:dyDescent="0.35">
      <c r="C28" s="166" t="s">
        <v>1893</v>
      </c>
      <c r="H28" s="167"/>
    </row>
    <row r="29" spans="3:9" x14ac:dyDescent="0.35">
      <c r="C29" s="166"/>
      <c r="H29" s="167"/>
    </row>
    <row r="30" spans="3:9" x14ac:dyDescent="0.35">
      <c r="C30" s="166"/>
      <c r="H30" s="167"/>
    </row>
    <row r="31" spans="3:9" x14ac:dyDescent="0.35">
      <c r="C31" s="166"/>
      <c r="H31" s="167"/>
    </row>
    <row r="32" spans="3:9" x14ac:dyDescent="0.35">
      <c r="C32" s="166"/>
      <c r="H32" s="167"/>
    </row>
    <row r="33" spans="3:8" x14ac:dyDescent="0.35">
      <c r="C33" s="166"/>
      <c r="H33" s="167"/>
    </row>
    <row r="34" spans="3:8" x14ac:dyDescent="0.35">
      <c r="C34" s="166"/>
      <c r="H34" s="167"/>
    </row>
    <row r="35" spans="3:8" x14ac:dyDescent="0.35">
      <c r="C35" s="166"/>
      <c r="H35" s="167"/>
    </row>
    <row r="36" spans="3:8" x14ac:dyDescent="0.35">
      <c r="C36" s="166"/>
      <c r="H36" s="167"/>
    </row>
    <row r="37" spans="3:8" x14ac:dyDescent="0.35">
      <c r="C37" s="166"/>
      <c r="H37" s="167"/>
    </row>
    <row r="38" spans="3:8" x14ac:dyDescent="0.35">
      <c r="C38" s="166"/>
      <c r="H38" s="167"/>
    </row>
    <row r="39" spans="3:8" x14ac:dyDescent="0.35">
      <c r="C39" s="166"/>
      <c r="H39" s="167"/>
    </row>
    <row r="40" spans="3:8" x14ac:dyDescent="0.35">
      <c r="C40" s="166"/>
      <c r="H40" s="167"/>
    </row>
    <row r="41" spans="3:8" x14ac:dyDescent="0.35">
      <c r="C41" s="166"/>
      <c r="H41" s="167"/>
    </row>
    <row r="42" spans="3:8" x14ac:dyDescent="0.35">
      <c r="C42" s="166"/>
      <c r="H42" s="167"/>
    </row>
    <row r="43" spans="3:8" x14ac:dyDescent="0.35">
      <c r="C43" s="166"/>
      <c r="H43" s="167"/>
    </row>
    <row r="44" spans="3:8" x14ac:dyDescent="0.35">
      <c r="C44" s="166"/>
      <c r="H44" s="167"/>
    </row>
    <row r="45" spans="3:8" x14ac:dyDescent="0.35">
      <c r="C45" s="166"/>
      <c r="H45" s="167"/>
    </row>
    <row r="46" spans="3:8" x14ac:dyDescent="0.35">
      <c r="C46" s="166"/>
      <c r="H46" s="167"/>
    </row>
    <row r="47" spans="3:8" x14ac:dyDescent="0.35">
      <c r="C47" s="166"/>
      <c r="H47" s="167"/>
    </row>
    <row r="48" spans="3:8" x14ac:dyDescent="0.35">
      <c r="C48" s="166"/>
      <c r="H48" s="167"/>
    </row>
    <row r="49" spans="3:8" x14ac:dyDescent="0.35">
      <c r="C49" s="166"/>
      <c r="H49" s="167"/>
    </row>
    <row r="50" spans="3:8" x14ac:dyDescent="0.35">
      <c r="C50" s="166"/>
      <c r="H50" s="167"/>
    </row>
    <row r="51" spans="3:8" x14ac:dyDescent="0.35">
      <c r="C51" s="166"/>
      <c r="H51" s="167"/>
    </row>
    <row r="52" spans="3:8" x14ac:dyDescent="0.35">
      <c r="C52" s="166"/>
      <c r="H52" s="167"/>
    </row>
    <row r="53" spans="3:8" x14ac:dyDescent="0.35">
      <c r="C53" s="166"/>
      <c r="H53" s="167"/>
    </row>
    <row r="54" spans="3:8" x14ac:dyDescent="0.35">
      <c r="C54" s="166"/>
      <c r="H54" s="167"/>
    </row>
    <row r="55" spans="3:8" x14ac:dyDescent="0.35">
      <c r="C55" s="166"/>
      <c r="H55" s="167"/>
    </row>
    <row r="56" spans="3:8" x14ac:dyDescent="0.35">
      <c r="C56" s="166"/>
      <c r="H56" s="167"/>
    </row>
    <row r="57" spans="3:8" x14ac:dyDescent="0.35">
      <c r="C57" s="166"/>
      <c r="H57" s="167"/>
    </row>
    <row r="58" spans="3:8" x14ac:dyDescent="0.35">
      <c r="C58" s="166"/>
      <c r="H58" s="167"/>
    </row>
    <row r="59" spans="3:8" x14ac:dyDescent="0.35">
      <c r="C59" s="166"/>
      <c r="H59" s="167"/>
    </row>
    <row r="60" spans="3:8" x14ac:dyDescent="0.35">
      <c r="C60" s="166"/>
      <c r="H60" s="167"/>
    </row>
    <row r="61" spans="3:8" x14ac:dyDescent="0.35">
      <c r="C61" s="166"/>
      <c r="H61" s="167"/>
    </row>
    <row r="62" spans="3:8" x14ac:dyDescent="0.35">
      <c r="C62" s="166"/>
      <c r="H62" s="167"/>
    </row>
    <row r="63" spans="3:8" x14ac:dyDescent="0.35">
      <c r="C63" s="166"/>
      <c r="H63" s="167"/>
    </row>
    <row r="64" spans="3:8" x14ac:dyDescent="0.35">
      <c r="C64" s="166"/>
      <c r="H64" s="167"/>
    </row>
    <row r="65" spans="3:8" x14ac:dyDescent="0.35">
      <c r="C65" s="166"/>
      <c r="H65" s="167"/>
    </row>
    <row r="66" spans="3:8" x14ac:dyDescent="0.35">
      <c r="C66" s="166"/>
      <c r="H66" s="167"/>
    </row>
    <row r="67" spans="3:8" ht="16" thickBot="1" x14ac:dyDescent="0.4">
      <c r="C67" s="168"/>
      <c r="D67" s="169"/>
      <c r="E67" s="169"/>
      <c r="F67" s="169"/>
      <c r="G67" s="169"/>
      <c r="H67" s="170"/>
    </row>
  </sheetData>
  <sheetProtection algorithmName="SHA-512" hashValue="nsxBRxCW+rdZcr+2b6GOsC6xCLw/tJ1cEAahB8N5svl2t1Z1w8bRgyOV6/5WauZAKULhJ3nzN4GNa8YmS+FOsA==" saltValue="IN8Dn/c0gPr6ANvWZIlbeA==" spinCount="100000" sheet="1" objects="1" scenarios="1"/>
  <hyperlinks>
    <hyperlink ref="C24:I24" r:id="rId1" display="https://board.coveredca.com/meetings/2016/4-07/2017%20QHP%20Issuer%20Contract_Attachment%207__Individual_4-6-2016_CLEAN.pdf" xr:uid="{FF51BFA9-8124-4239-96B8-62091D8CE7BB}"/>
  </hyperlinks>
  <pageMargins left="0.7" right="0.7" top="0.75" bottom="0.75" header="0.3" footer="0.3"/>
  <pageSetup orientation="portrait" r:id="rId2"/>
  <headerFooter>
    <oddFooter>&amp;L&amp;A
Version Date: June 2, 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AF51-FB44-4E04-A721-D4D37B9E3DAE}">
  <dimension ref="B1:I37"/>
  <sheetViews>
    <sheetView showGridLines="0" topLeftCell="A6" workbookViewId="0">
      <selection activeCell="D15" sqref="D15"/>
    </sheetView>
  </sheetViews>
  <sheetFormatPr defaultColWidth="8.84375" defaultRowHeight="15.5" x14ac:dyDescent="0.35"/>
  <cols>
    <col min="1" max="1" width="3.07421875" style="105" customWidth="1"/>
    <col min="2" max="2" width="9.84375" style="105" customWidth="1"/>
    <col min="3" max="3" width="17.53515625" style="105" customWidth="1"/>
    <col min="4" max="4" width="43.84375" style="105" customWidth="1"/>
    <col min="5" max="8" width="8.84375" style="105"/>
    <col min="9" max="9" width="36.07421875" style="105" customWidth="1"/>
    <col min="10" max="16384" width="8.84375" style="105"/>
  </cols>
  <sheetData>
    <row r="1" spans="2:9" ht="18" x14ac:dyDescent="0.4">
      <c r="B1" s="104" t="s">
        <v>47</v>
      </c>
    </row>
    <row r="3" spans="2:9" x14ac:dyDescent="0.35">
      <c r="B3" s="171" t="str">
        <f>'Cover-Input Page '!$C7</f>
        <v>Wellfleet Insurance Company</v>
      </c>
      <c r="C3" s="154"/>
    </row>
    <row r="4" spans="2:9" x14ac:dyDescent="0.35">
      <c r="B4" s="177" t="str">
        <f>"Reporting Year: "&amp;'Cover-Input Page '!$C5</f>
        <v>Reporting Year: 2025</v>
      </c>
      <c r="C4" s="154"/>
    </row>
    <row r="5" spans="2:9" ht="16" thickBot="1" x14ac:dyDescent="0.4"/>
    <row r="6" spans="2:9" ht="16" thickBot="1" x14ac:dyDescent="0.4">
      <c r="B6" s="111" t="s">
        <v>57</v>
      </c>
      <c r="C6" s="112"/>
      <c r="D6" s="113"/>
    </row>
    <row r="8" spans="2:9" x14ac:dyDescent="0.35">
      <c r="C8" s="105" t="s">
        <v>170</v>
      </c>
    </row>
    <row r="9" spans="2:9" x14ac:dyDescent="0.35">
      <c r="C9" s="105" t="s">
        <v>171</v>
      </c>
    </row>
    <row r="11" spans="2:9" x14ac:dyDescent="0.35">
      <c r="C11" s="105" t="s">
        <v>100</v>
      </c>
    </row>
    <row r="12" spans="2:9" x14ac:dyDescent="0.35">
      <c r="C12" s="139"/>
      <c r="D12" s="131"/>
      <c r="E12" s="131"/>
      <c r="F12" s="131"/>
      <c r="G12" s="131"/>
      <c r="H12" s="131"/>
      <c r="I12" s="132"/>
    </row>
    <row r="13" spans="2:9" x14ac:dyDescent="0.35">
      <c r="C13" s="140" t="s">
        <v>1894</v>
      </c>
      <c r="I13" s="134"/>
    </row>
    <row r="14" spans="2:9" x14ac:dyDescent="0.35">
      <c r="C14" s="140"/>
      <c r="I14" s="134"/>
    </row>
    <row r="15" spans="2:9" x14ac:dyDescent="0.35">
      <c r="C15" s="140"/>
      <c r="I15" s="134"/>
    </row>
    <row r="16" spans="2:9" x14ac:dyDescent="0.35">
      <c r="C16" s="140"/>
      <c r="I16" s="134"/>
    </row>
    <row r="17" spans="3:9" x14ac:dyDescent="0.35">
      <c r="C17" s="140"/>
      <c r="I17" s="134"/>
    </row>
    <row r="18" spans="3:9" x14ac:dyDescent="0.35">
      <c r="C18" s="140"/>
      <c r="I18" s="134"/>
    </row>
    <row r="19" spans="3:9" x14ac:dyDescent="0.35">
      <c r="C19" s="140"/>
      <c r="I19" s="134"/>
    </row>
    <row r="20" spans="3:9" x14ac:dyDescent="0.35">
      <c r="C20" s="140"/>
      <c r="I20" s="134"/>
    </row>
    <row r="21" spans="3:9" x14ac:dyDescent="0.35">
      <c r="C21" s="140"/>
      <c r="I21" s="134"/>
    </row>
    <row r="22" spans="3:9" x14ac:dyDescent="0.35">
      <c r="C22" s="140"/>
      <c r="I22" s="134"/>
    </row>
    <row r="23" spans="3:9" x14ac:dyDescent="0.35">
      <c r="C23" s="140"/>
      <c r="I23" s="134"/>
    </row>
    <row r="24" spans="3:9" x14ac:dyDescent="0.35">
      <c r="C24" s="140"/>
      <c r="I24" s="134"/>
    </row>
    <row r="25" spans="3:9" x14ac:dyDescent="0.35">
      <c r="C25" s="140"/>
      <c r="I25" s="134"/>
    </row>
    <row r="26" spans="3:9" x14ac:dyDescent="0.35">
      <c r="C26" s="140"/>
      <c r="I26" s="134"/>
    </row>
    <row r="27" spans="3:9" x14ac:dyDescent="0.35">
      <c r="C27" s="140"/>
      <c r="I27" s="134"/>
    </row>
    <row r="28" spans="3:9" x14ac:dyDescent="0.35">
      <c r="C28" s="140"/>
      <c r="I28" s="134"/>
    </row>
    <row r="29" spans="3:9" x14ac:dyDescent="0.35">
      <c r="C29" s="140"/>
      <c r="I29" s="134"/>
    </row>
    <row r="30" spans="3:9" x14ac:dyDescent="0.35">
      <c r="C30" s="140"/>
      <c r="I30" s="134"/>
    </row>
    <row r="31" spans="3:9" x14ac:dyDescent="0.35">
      <c r="C31" s="140"/>
      <c r="I31" s="134"/>
    </row>
    <row r="32" spans="3:9" x14ac:dyDescent="0.35">
      <c r="C32" s="140"/>
      <c r="I32" s="134"/>
    </row>
    <row r="33" spans="3:9" x14ac:dyDescent="0.35">
      <c r="C33" s="140"/>
      <c r="I33" s="134"/>
    </row>
    <row r="34" spans="3:9" x14ac:dyDescent="0.35">
      <c r="C34" s="140"/>
      <c r="I34" s="134"/>
    </row>
    <row r="35" spans="3:9" x14ac:dyDescent="0.35">
      <c r="C35" s="140"/>
      <c r="I35" s="134"/>
    </row>
    <row r="36" spans="3:9" x14ac:dyDescent="0.35">
      <c r="C36" s="140"/>
      <c r="I36" s="134"/>
    </row>
    <row r="37" spans="3:9" x14ac:dyDescent="0.35">
      <c r="C37" s="141"/>
      <c r="D37" s="116"/>
      <c r="E37" s="116"/>
      <c r="F37" s="116"/>
      <c r="G37" s="116"/>
      <c r="H37" s="116"/>
      <c r="I37" s="136"/>
    </row>
  </sheetData>
  <sheetProtection algorithmName="SHA-512" hashValue="CJUNpQF3xAtN0oki5Vp0ZuJBiNQ/MURUIcA8jM4rydXgKesn+oDt7WiMFLsX9lWOcNL3FFoUGGQbocr1DnVjpQ==" saltValue="yTv2ZuyXSrhJZ7heyBjYcQ==" spinCount="100000" sheet="1" objects="1" scenarios="1"/>
  <pageMargins left="0.7" right="0.7" top="0.75" bottom="0.75" header="0.3" footer="0.3"/>
  <pageSetup orientation="portrait" r:id="rId1"/>
  <headerFooter>
    <oddFooter>&amp;L&amp;A
Version Date: June 2, 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25A78-BCB8-4156-8AC6-DC88C9FA8EEA}">
  <sheetPr>
    <tabColor theme="0"/>
  </sheetPr>
  <dimension ref="B1:E19"/>
  <sheetViews>
    <sheetView showGridLines="0" topLeftCell="A9" workbookViewId="0">
      <selection activeCell="C18" sqref="C18"/>
    </sheetView>
  </sheetViews>
  <sheetFormatPr defaultColWidth="8.84375" defaultRowHeight="15.5" x14ac:dyDescent="0.35"/>
  <cols>
    <col min="1" max="1" width="3.07421875" style="105" customWidth="1"/>
    <col min="2" max="2" width="9.84375" style="105" customWidth="1"/>
    <col min="3" max="3" width="17.4609375" style="105" customWidth="1"/>
    <col min="4" max="16384" width="8.84375" style="105"/>
  </cols>
  <sheetData>
    <row r="1" spans="2:5" ht="18" x14ac:dyDescent="0.4">
      <c r="B1" s="104" t="s">
        <v>47</v>
      </c>
    </row>
    <row r="3" spans="2:5" x14ac:dyDescent="0.35">
      <c r="B3" s="171" t="str">
        <f>'Cover-Input Page '!$C7</f>
        <v>Wellfleet Insurance Company</v>
      </c>
      <c r="C3" s="154"/>
    </row>
    <row r="4" spans="2:5" x14ac:dyDescent="0.35">
      <c r="B4" s="177" t="str">
        <f>"Reporting Year: "&amp;'Cover-Input Page '!$C5</f>
        <v>Reporting Year: 2025</v>
      </c>
      <c r="C4" s="154"/>
    </row>
    <row r="5" spans="2:5" ht="16" thickBot="1" x14ac:dyDescent="0.4"/>
    <row r="6" spans="2:5" ht="16" thickBot="1" x14ac:dyDescent="0.4">
      <c r="B6" s="111" t="s">
        <v>58</v>
      </c>
      <c r="C6" s="112"/>
      <c r="D6" s="112"/>
      <c r="E6" s="113"/>
    </row>
    <row r="8" spans="2:5" x14ac:dyDescent="0.35">
      <c r="C8" s="105" t="s">
        <v>393</v>
      </c>
    </row>
    <row r="9" spans="2:5" x14ac:dyDescent="0.35">
      <c r="C9" s="105" t="s">
        <v>173</v>
      </c>
    </row>
    <row r="11" spans="2:5" x14ac:dyDescent="0.35">
      <c r="C11" s="105" t="s">
        <v>174</v>
      </c>
    </row>
    <row r="12" spans="2:5" x14ac:dyDescent="0.35">
      <c r="C12" s="105" t="s">
        <v>175</v>
      </c>
    </row>
    <row r="13" spans="2:5" x14ac:dyDescent="0.35">
      <c r="C13" s="105" t="s">
        <v>176</v>
      </c>
    </row>
    <row r="14" spans="2:5" x14ac:dyDescent="0.35">
      <c r="C14" s="105" t="s">
        <v>177</v>
      </c>
    </row>
    <row r="15" spans="2:5" x14ac:dyDescent="0.35">
      <c r="C15" s="105" t="s">
        <v>178</v>
      </c>
    </row>
    <row r="16" spans="2:5" x14ac:dyDescent="0.35">
      <c r="C16" s="105" t="s">
        <v>179</v>
      </c>
    </row>
    <row r="18" spans="3:3" x14ac:dyDescent="0.35">
      <c r="C18" s="158" t="s">
        <v>394</v>
      </c>
    </row>
    <row r="19" spans="3:3" x14ac:dyDescent="0.35">
      <c r="C19" s="158"/>
    </row>
  </sheetData>
  <sheetProtection algorithmName="SHA-512" hashValue="leXFjyDICWY3I80jT+k2ZGehbmCpjpu57q0h4PKAnyCAuQ+ZRGd6TfNxRorB1pxyJJI3tE6I8pCfD0NH0Z3jGQ==" saltValue="4jmdtYfdNPuzbioVduEzyg==" spinCount="100000" sheet="1" objects="1" scenarios="1"/>
  <hyperlinks>
    <hyperlink ref="C18" location="'LGPDCD===&gt;&gt;&gt;'!A1" display="Complete Large Group Prescription Drug Cost Reporting Form" xr:uid="{0B94434D-C169-45AC-B5BB-4CB9357A91FB}"/>
  </hyperlinks>
  <pageMargins left="0.7" right="0.7" top="0.75" bottom="0.75" header="0.3" footer="0.3"/>
  <pageSetup orientation="portrait" r:id="rId1"/>
  <headerFooter>
    <oddFooter>&amp;L&amp;A
Version Date: June 2, 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A8F66-CD77-421A-A81E-6EE6395BBA29}">
  <dimension ref="B1:G36"/>
  <sheetViews>
    <sheetView showGridLines="0" topLeftCell="A6" workbookViewId="0">
      <selection activeCell="C12" sqref="C12"/>
    </sheetView>
  </sheetViews>
  <sheetFormatPr defaultColWidth="8.84375" defaultRowHeight="15.5" x14ac:dyDescent="0.35"/>
  <cols>
    <col min="1" max="1" width="3.07421875" style="105" customWidth="1"/>
    <col min="2" max="2" width="4.84375" style="105" customWidth="1"/>
    <col min="3" max="3" width="22.53515625" style="105" customWidth="1"/>
    <col min="4" max="4" width="8.84375" style="105"/>
    <col min="5" max="5" width="9.84375" style="105" customWidth="1"/>
    <col min="6" max="6" width="8.84375" style="105"/>
    <col min="7" max="7" width="91.84375" style="105" customWidth="1"/>
    <col min="8" max="16384" width="8.84375" style="105"/>
  </cols>
  <sheetData>
    <row r="1" spans="2:7" ht="18" x14ac:dyDescent="0.4">
      <c r="B1" s="104" t="s">
        <v>47</v>
      </c>
    </row>
    <row r="3" spans="2:7" x14ac:dyDescent="0.35">
      <c r="B3" s="171" t="str">
        <f>'Cover-Input Page '!$C7</f>
        <v>Wellfleet Insurance Company</v>
      </c>
      <c r="C3" s="154"/>
    </row>
    <row r="4" spans="2:7" x14ac:dyDescent="0.35">
      <c r="B4" s="177" t="str">
        <f>"Reporting Year: "&amp;'Cover-Input Page '!$C5</f>
        <v>Reporting Year: 2025</v>
      </c>
      <c r="C4" s="154"/>
    </row>
    <row r="5" spans="2:7" ht="16" thickBot="1" x14ac:dyDescent="0.4"/>
    <row r="6" spans="2:7" ht="16" thickBot="1" x14ac:dyDescent="0.4">
      <c r="B6" s="111" t="s">
        <v>59</v>
      </c>
      <c r="C6" s="113"/>
    </row>
    <row r="8" spans="2:7" x14ac:dyDescent="0.35">
      <c r="C8" s="105" t="s">
        <v>172</v>
      </c>
    </row>
    <row r="10" spans="2:7" ht="16" thickBot="1" x14ac:dyDescent="0.4">
      <c r="C10" s="105" t="s">
        <v>100</v>
      </c>
    </row>
    <row r="11" spans="2:7" x14ac:dyDescent="0.35">
      <c r="C11" s="165"/>
      <c r="D11" s="107"/>
      <c r="E11" s="107"/>
      <c r="F11" s="107"/>
      <c r="G11" s="108"/>
    </row>
    <row r="12" spans="2:7" x14ac:dyDescent="0.35">
      <c r="C12" s="166" t="s">
        <v>1895</v>
      </c>
      <c r="G12" s="167"/>
    </row>
    <row r="13" spans="2:7" x14ac:dyDescent="0.35">
      <c r="C13" s="166"/>
      <c r="G13" s="167"/>
    </row>
    <row r="14" spans="2:7" x14ac:dyDescent="0.35">
      <c r="C14" s="166"/>
      <c r="G14" s="167"/>
    </row>
    <row r="15" spans="2:7" x14ac:dyDescent="0.35">
      <c r="C15" s="166"/>
      <c r="G15" s="167"/>
    </row>
    <row r="16" spans="2:7" x14ac:dyDescent="0.35">
      <c r="C16" s="166"/>
      <c r="G16" s="167"/>
    </row>
    <row r="17" spans="3:7" x14ac:dyDescent="0.35">
      <c r="C17" s="166"/>
      <c r="G17" s="167"/>
    </row>
    <row r="18" spans="3:7" x14ac:dyDescent="0.35">
      <c r="C18" s="166"/>
      <c r="G18" s="167"/>
    </row>
    <row r="19" spans="3:7" x14ac:dyDescent="0.35">
      <c r="C19" s="166"/>
      <c r="G19" s="167"/>
    </row>
    <row r="20" spans="3:7" x14ac:dyDescent="0.35">
      <c r="C20" s="166"/>
      <c r="G20" s="167"/>
    </row>
    <row r="21" spans="3:7" x14ac:dyDescent="0.35">
      <c r="C21" s="166"/>
      <c r="G21" s="167"/>
    </row>
    <row r="22" spans="3:7" x14ac:dyDescent="0.35">
      <c r="C22" s="166"/>
      <c r="G22" s="167"/>
    </row>
    <row r="23" spans="3:7" x14ac:dyDescent="0.35">
      <c r="C23" s="166"/>
      <c r="G23" s="167"/>
    </row>
    <row r="24" spans="3:7" x14ac:dyDescent="0.35">
      <c r="C24" s="166"/>
      <c r="G24" s="167"/>
    </row>
    <row r="25" spans="3:7" x14ac:dyDescent="0.35">
      <c r="C25" s="166"/>
      <c r="G25" s="167"/>
    </row>
    <row r="26" spans="3:7" x14ac:dyDescent="0.35">
      <c r="C26" s="166"/>
      <c r="G26" s="167"/>
    </row>
    <row r="27" spans="3:7" x14ac:dyDescent="0.35">
      <c r="C27" s="166"/>
      <c r="G27" s="167"/>
    </row>
    <row r="28" spans="3:7" x14ac:dyDescent="0.35">
      <c r="C28" s="166"/>
      <c r="G28" s="167"/>
    </row>
    <row r="29" spans="3:7" x14ac:dyDescent="0.35">
      <c r="C29" s="166"/>
      <c r="G29" s="167"/>
    </row>
    <row r="30" spans="3:7" x14ac:dyDescent="0.35">
      <c r="C30" s="166"/>
      <c r="G30" s="167"/>
    </row>
    <row r="31" spans="3:7" x14ac:dyDescent="0.35">
      <c r="C31" s="166"/>
      <c r="G31" s="167"/>
    </row>
    <row r="32" spans="3:7" x14ac:dyDescent="0.35">
      <c r="C32" s="166"/>
      <c r="G32" s="167"/>
    </row>
    <row r="33" spans="3:7" x14ac:dyDescent="0.35">
      <c r="C33" s="166"/>
      <c r="G33" s="167"/>
    </row>
    <row r="34" spans="3:7" x14ac:dyDescent="0.35">
      <c r="C34" s="166"/>
      <c r="G34" s="167"/>
    </row>
    <row r="35" spans="3:7" x14ac:dyDescent="0.35">
      <c r="C35" s="166"/>
      <c r="G35" s="167"/>
    </row>
    <row r="36" spans="3:7" ht="16" thickBot="1" x14ac:dyDescent="0.4">
      <c r="C36" s="168"/>
      <c r="D36" s="169"/>
      <c r="E36" s="169"/>
      <c r="F36" s="169"/>
      <c r="G36" s="170"/>
    </row>
  </sheetData>
  <sheetProtection algorithmName="SHA-512" hashValue="7CvqdJ/xIdXkeBjo8qvKPVoljmicqATn+2NflEGk4BfPWkQwvR/+DTyExtxBQU6stFzUv99HH7S3IkFfzvUiSw==" saltValue="g9RlmNAWtUbEHsBDWy8mSA==" spinCount="100000" sheet="1" objects="1" scenarios="1"/>
  <pageMargins left="0.7" right="0.7" top="0.75" bottom="0.75" header="0.3" footer="0.3"/>
  <pageSetup orientation="portrait" r:id="rId1"/>
  <headerFooter>
    <oddFooter>&amp;L&amp;A
Version Date: June 2, 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93204-A679-480B-9941-D67D1EE31F1F}">
  <dimension ref="B1:H24"/>
  <sheetViews>
    <sheetView showGridLines="0" topLeftCell="A3" workbookViewId="0"/>
  </sheetViews>
  <sheetFormatPr defaultColWidth="7.84375" defaultRowHeight="15.5" x14ac:dyDescent="0.35"/>
  <cols>
    <col min="1" max="1" width="1.53515625" style="201" customWidth="1"/>
    <col min="2" max="2" width="27.3046875" style="202" customWidth="1"/>
    <col min="3" max="3" width="107.3046875" style="202" bestFit="1" customWidth="1"/>
    <col min="4" max="16384" width="7.84375" style="201"/>
  </cols>
  <sheetData>
    <row r="1" spans="2:8" ht="18" x14ac:dyDescent="0.4">
      <c r="B1" s="104" t="s">
        <v>47</v>
      </c>
    </row>
    <row r="2" spans="2:8" x14ac:dyDescent="0.35">
      <c r="B2" s="105"/>
      <c r="C2" s="105"/>
    </row>
    <row r="3" spans="2:8" x14ac:dyDescent="0.35">
      <c r="B3" s="171" t="str">
        <f>'Cover-Input Page '!$C7</f>
        <v>Wellfleet Insurance Company</v>
      </c>
      <c r="C3" s="105"/>
      <c r="E3" s="105"/>
      <c r="F3" s="105"/>
      <c r="G3" s="105"/>
      <c r="H3" s="105"/>
    </row>
    <row r="4" spans="2:8" x14ac:dyDescent="0.35">
      <c r="B4" s="177" t="str">
        <f>"Reporting Year: "&amp;'Cover-Input Page '!$C5</f>
        <v>Reporting Year: 2025</v>
      </c>
      <c r="C4" s="105"/>
      <c r="E4" s="105"/>
      <c r="F4" s="105"/>
      <c r="G4" s="105"/>
      <c r="H4" s="105"/>
    </row>
    <row r="5" spans="2:8" ht="16" thickBot="1" x14ac:dyDescent="0.4">
      <c r="B5" s="105"/>
      <c r="C5" s="105"/>
    </row>
    <row r="6" spans="2:8" ht="16" thickBot="1" x14ac:dyDescent="0.4">
      <c r="B6" s="111" t="s">
        <v>426</v>
      </c>
      <c r="C6" s="113"/>
    </row>
    <row r="7" spans="2:8" x14ac:dyDescent="0.35">
      <c r="B7" s="203"/>
      <c r="C7" s="105"/>
    </row>
    <row r="8" spans="2:8" x14ac:dyDescent="0.35">
      <c r="B8" s="105" t="s">
        <v>431</v>
      </c>
      <c r="C8" s="105"/>
    </row>
    <row r="9" spans="2:8" x14ac:dyDescent="0.35">
      <c r="B9" s="204"/>
    </row>
    <row r="10" spans="2:8" x14ac:dyDescent="0.35">
      <c r="B10" s="205" t="s">
        <v>311</v>
      </c>
      <c r="C10" s="205" t="s">
        <v>312</v>
      </c>
    </row>
    <row r="11" spans="2:8" x14ac:dyDescent="0.35">
      <c r="B11" s="206" t="s">
        <v>408</v>
      </c>
      <c r="C11" s="122" t="s">
        <v>409</v>
      </c>
    </row>
    <row r="12" spans="2:8" ht="170.5" x14ac:dyDescent="0.35">
      <c r="B12" s="206" t="s">
        <v>410</v>
      </c>
      <c r="C12" s="122" t="s">
        <v>456</v>
      </c>
    </row>
    <row r="13" spans="2:8" ht="62" x14ac:dyDescent="0.35">
      <c r="B13" s="206" t="s">
        <v>411</v>
      </c>
      <c r="C13" s="122" t="s">
        <v>454</v>
      </c>
    </row>
    <row r="14" spans="2:8" ht="31" x14ac:dyDescent="0.35">
      <c r="B14" s="125" t="s">
        <v>412</v>
      </c>
      <c r="C14" s="122" t="s">
        <v>425</v>
      </c>
    </row>
    <row r="15" spans="2:8" x14ac:dyDescent="0.35">
      <c r="B15" s="207" t="s">
        <v>413</v>
      </c>
      <c r="C15" s="122" t="s">
        <v>424</v>
      </c>
    </row>
    <row r="16" spans="2:8" ht="46.5" x14ac:dyDescent="0.35">
      <c r="B16" s="206" t="s">
        <v>414</v>
      </c>
      <c r="C16" s="122" t="s">
        <v>455</v>
      </c>
    </row>
    <row r="17" spans="2:3" ht="31" x14ac:dyDescent="0.35">
      <c r="B17" s="206" t="s">
        <v>415</v>
      </c>
      <c r="C17" s="122" t="s">
        <v>423</v>
      </c>
    </row>
    <row r="18" spans="2:3" ht="31" x14ac:dyDescent="0.35">
      <c r="B18" s="206" t="s">
        <v>416</v>
      </c>
      <c r="C18" s="122" t="s">
        <v>433</v>
      </c>
    </row>
    <row r="19" spans="2:3" ht="77.5" x14ac:dyDescent="0.35">
      <c r="B19" s="208" t="s">
        <v>417</v>
      </c>
      <c r="C19" s="208" t="s">
        <v>432</v>
      </c>
    </row>
    <row r="20" spans="2:3" ht="31" x14ac:dyDescent="0.35">
      <c r="B20" s="207" t="s">
        <v>418</v>
      </c>
      <c r="C20" s="122" t="s">
        <v>443</v>
      </c>
    </row>
    <row r="21" spans="2:3" ht="31" x14ac:dyDescent="0.35">
      <c r="B21" s="207" t="s">
        <v>75</v>
      </c>
      <c r="C21" s="122" t="s">
        <v>421</v>
      </c>
    </row>
    <row r="22" spans="2:3" ht="31" x14ac:dyDescent="0.35">
      <c r="B22" s="207" t="s">
        <v>419</v>
      </c>
      <c r="C22" s="122" t="s">
        <v>422</v>
      </c>
    </row>
    <row r="23" spans="2:3" ht="31" x14ac:dyDescent="0.35">
      <c r="B23" s="206" t="s">
        <v>420</v>
      </c>
      <c r="C23" s="209" t="s">
        <v>430</v>
      </c>
    </row>
    <row r="24" spans="2:3" x14ac:dyDescent="0.35">
      <c r="B24" s="201"/>
      <c r="C24" s="201"/>
    </row>
  </sheetData>
  <sheetProtection algorithmName="SHA-512" hashValue="JK1A6qbLpA7N/F4pkFYQrCjSCD3j1NO7D5qkfMBMzfLUhFB6c/LM08VCzH7H6s9PqOkkWrV0+rh6DCvbqA8hgg==" saltValue="NmwRIkmRh/xJwnBotjF9lA==" spinCount="100000" sheet="1" objects="1" scenarios="1"/>
  <pageMargins left="0.7" right="0.7" top="0.75" bottom="0.75" header="0.3" footer="0.3"/>
  <pageSetup orientation="portrait" r:id="rId1"/>
  <headerFooter>
    <oddFooter>&amp;L&amp;A
Version Date: June 2, 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7EDBC-86B1-4840-9526-324B8B021DE6}">
  <sheetPr>
    <tabColor rgb="FF99FF99"/>
  </sheetPr>
  <dimension ref="A1:A5"/>
  <sheetViews>
    <sheetView showGridLines="0" workbookViewId="0">
      <selection activeCell="A4" sqref="A4"/>
    </sheetView>
  </sheetViews>
  <sheetFormatPr defaultRowHeight="15.5" x14ac:dyDescent="0.35"/>
  <sheetData>
    <row r="1" spans="1:1" x14ac:dyDescent="0.35">
      <c r="A1" t="s">
        <v>395</v>
      </c>
    </row>
    <row r="3" spans="1:1" x14ac:dyDescent="0.35">
      <c r="A3" s="44" t="s">
        <v>377</v>
      </c>
    </row>
    <row r="4" spans="1:1" x14ac:dyDescent="0.35">
      <c r="A4" s="44" t="s">
        <v>378</v>
      </c>
    </row>
    <row r="5" spans="1:1" x14ac:dyDescent="0.35">
      <c r="A5" s="44" t="s">
        <v>379</v>
      </c>
    </row>
  </sheetData>
  <hyperlinks>
    <hyperlink ref="A3" location="'LGHistData-HMO'!A1" display="LGHistData-HMO" xr:uid="{C6B67DF0-6944-4C9D-96FE-1445D7852795}"/>
    <hyperlink ref="A4" location="'LGHistData-PPO'!A1" display="LGHistData-PPO" xr:uid="{E608667A-F636-4004-9C25-7A97754176E3}"/>
    <hyperlink ref="A5" location="'LGHistData-Summary'!A1" display="LGHistData-Summary" xr:uid="{E10E1CA8-ED1A-46F1-8DE7-54DA9CEBFF89}"/>
  </hyperlinks>
  <pageMargins left="0.7" right="0.7" top="0.75" bottom="0.75" header="0.3" footer="0.3"/>
  <pageSetup orientation="portrait" r:id="rId1"/>
  <headerFooter>
    <oddFooter>&amp;L&amp;A
Version Date: June 2, 2025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9ED2E-F1C0-49EA-B8FD-CEBB49017C17}">
  <sheetPr>
    <tabColor theme="0"/>
  </sheetPr>
  <dimension ref="A1:I54"/>
  <sheetViews>
    <sheetView showGridLines="0" zoomScale="82" zoomScaleNormal="82" workbookViewId="0">
      <selection activeCell="L17" sqref="L17"/>
    </sheetView>
  </sheetViews>
  <sheetFormatPr defaultColWidth="7.84375" defaultRowHeight="12.5" x14ac:dyDescent="0.25"/>
  <cols>
    <col min="1" max="1" width="1.4609375" style="5" customWidth="1"/>
    <col min="2" max="2" width="3" style="5" customWidth="1"/>
    <col min="3" max="3" width="4.84375" style="5" customWidth="1"/>
    <col min="4" max="4" width="44.84375" style="5" bestFit="1" customWidth="1"/>
    <col min="5" max="9" width="17.07421875" style="5" customWidth="1"/>
    <col min="10" max="16384" width="7.84375" style="5"/>
  </cols>
  <sheetData>
    <row r="1" spans="2:9" ht="15.5" x14ac:dyDescent="0.35">
      <c r="B1" s="7" t="s">
        <v>60</v>
      </c>
      <c r="C1" s="213"/>
      <c r="D1" s="325"/>
      <c r="E1" s="7"/>
      <c r="F1" s="213"/>
      <c r="G1" s="213"/>
      <c r="H1" s="213"/>
      <c r="I1" s="213"/>
    </row>
    <row r="2" spans="2:9" ht="15.5" x14ac:dyDescent="0.35">
      <c r="B2" s="7" t="s">
        <v>349</v>
      </c>
      <c r="C2" s="213"/>
      <c r="D2" s="213"/>
      <c r="E2" s="213"/>
      <c r="F2" s="213"/>
      <c r="G2" s="213"/>
      <c r="H2" s="213"/>
      <c r="I2" s="213"/>
    </row>
    <row r="3" spans="2:9" ht="15.5" x14ac:dyDescent="0.35">
      <c r="B3" s="7" t="s">
        <v>350</v>
      </c>
      <c r="C3" s="213"/>
      <c r="D3" s="213"/>
      <c r="E3" s="213"/>
      <c r="F3" s="213"/>
      <c r="G3" s="213"/>
      <c r="H3" s="213"/>
      <c r="I3" s="213"/>
    </row>
    <row r="4" spans="2:9" ht="15.5" x14ac:dyDescent="0.35">
      <c r="B4" s="7"/>
      <c r="C4" s="213"/>
      <c r="D4" s="213"/>
      <c r="E4" s="213"/>
      <c r="F4" s="213"/>
      <c r="G4" s="213"/>
      <c r="H4" s="213"/>
      <c r="I4" s="213"/>
    </row>
    <row r="5" spans="2:9" ht="16" thickBot="1" x14ac:dyDescent="0.4">
      <c r="B5" s="210" t="str">
        <f>'Cover-Input Page '!C7</f>
        <v>Wellfleet Insurance Company</v>
      </c>
      <c r="C5" s="326"/>
      <c r="D5" s="326"/>
    </row>
    <row r="6" spans="2:9" ht="16" thickBot="1" x14ac:dyDescent="0.4">
      <c r="B6" s="211" t="str">
        <f>"Reporting Year: "&amp;'Cover-Input Page '!$C5</f>
        <v>Reporting Year: 2025</v>
      </c>
      <c r="C6" s="215"/>
      <c r="D6" s="215"/>
    </row>
    <row r="7" spans="2:9" ht="15.5" x14ac:dyDescent="0.35">
      <c r="B7" s="7" t="s">
        <v>199</v>
      </c>
      <c r="C7" s="213"/>
      <c r="D7" s="213"/>
      <c r="E7" s="213"/>
      <c r="F7" s="213"/>
      <c r="G7" s="213"/>
      <c r="H7" s="213"/>
      <c r="I7" s="213"/>
    </row>
    <row r="9" spans="2:9" ht="13" thickBot="1" x14ac:dyDescent="0.3">
      <c r="D9" s="6"/>
    </row>
    <row r="10" spans="2:9" ht="16" thickBot="1" x14ac:dyDescent="0.4">
      <c r="B10" s="7" t="s">
        <v>200</v>
      </c>
      <c r="C10" s="8"/>
      <c r="D10" s="8"/>
      <c r="E10" s="216"/>
      <c r="F10" s="217"/>
      <c r="G10" s="217" t="s">
        <v>201</v>
      </c>
      <c r="H10" s="217"/>
      <c r="I10" s="218"/>
    </row>
    <row r="11" spans="2:9" ht="14.15" customHeight="1" thickBot="1" x14ac:dyDescent="0.4">
      <c r="C11" s="8"/>
      <c r="D11" s="8"/>
      <c r="E11" s="219"/>
      <c r="F11" s="220"/>
      <c r="G11" s="220"/>
      <c r="H11" s="220"/>
      <c r="I11" s="221"/>
    </row>
    <row r="12" spans="2:9" ht="16" thickBot="1" x14ac:dyDescent="0.4">
      <c r="C12" s="8"/>
      <c r="D12" s="8"/>
      <c r="E12" s="212">
        <f>'Cover-Input Page '!$C5-5</f>
        <v>2020</v>
      </c>
      <c r="F12" s="212">
        <f>'Cover-Input Page '!$C5-4</f>
        <v>2021</v>
      </c>
      <c r="G12" s="212">
        <f>'Cover-Input Page '!$C5-3</f>
        <v>2022</v>
      </c>
      <c r="H12" s="212">
        <f>'Cover-Input Page '!$C5-2</f>
        <v>2023</v>
      </c>
      <c r="I12" s="212">
        <f>'Cover-Input Page '!$C5-1</f>
        <v>2024</v>
      </c>
    </row>
    <row r="13" spans="2:9" ht="15.5" x14ac:dyDescent="0.25">
      <c r="B13" s="327" t="s">
        <v>195</v>
      </c>
      <c r="C13" s="223" t="s">
        <v>202</v>
      </c>
      <c r="D13" s="224"/>
      <c r="E13" s="9"/>
      <c r="F13" s="10"/>
      <c r="G13" s="9"/>
      <c r="H13" s="11"/>
      <c r="I13" s="11"/>
    </row>
    <row r="14" spans="2:9" ht="15.5" x14ac:dyDescent="0.25">
      <c r="B14" s="328"/>
      <c r="C14" s="226">
        <v>1.1000000000000001</v>
      </c>
      <c r="D14" s="227" t="s">
        <v>203</v>
      </c>
      <c r="E14" s="12"/>
      <c r="F14" s="13"/>
      <c r="G14" s="12"/>
      <c r="H14" s="14"/>
      <c r="I14" s="14"/>
    </row>
    <row r="15" spans="2:9" ht="15.5" x14ac:dyDescent="0.25">
      <c r="B15" s="329"/>
      <c r="C15" s="229"/>
      <c r="D15" s="230"/>
      <c r="E15" s="15"/>
      <c r="F15" s="16"/>
      <c r="G15" s="15"/>
      <c r="H15" s="17"/>
      <c r="I15" s="17"/>
    </row>
    <row r="16" spans="2:9" ht="15.5" x14ac:dyDescent="0.25">
      <c r="B16" s="328" t="s">
        <v>196</v>
      </c>
      <c r="C16" s="231" t="s">
        <v>204</v>
      </c>
      <c r="D16" s="227"/>
      <c r="E16" s="18"/>
      <c r="F16" s="19"/>
      <c r="G16" s="18"/>
      <c r="H16" s="20"/>
      <c r="I16" s="20"/>
    </row>
    <row r="17" spans="1:9" ht="15.5" x14ac:dyDescent="0.25">
      <c r="B17" s="328"/>
      <c r="C17" s="226">
        <v>2.1</v>
      </c>
      <c r="D17" s="227" t="s">
        <v>205</v>
      </c>
      <c r="E17" s="12"/>
      <c r="F17" s="13"/>
      <c r="G17" s="12"/>
      <c r="H17" s="14"/>
      <c r="I17" s="14"/>
    </row>
    <row r="18" spans="1:9" ht="15.5" x14ac:dyDescent="0.25">
      <c r="B18" s="328"/>
      <c r="C18" s="226">
        <v>2.2000000000000002</v>
      </c>
      <c r="D18" s="227" t="s">
        <v>206</v>
      </c>
      <c r="E18" s="12"/>
      <c r="F18" s="13"/>
      <c r="G18" s="12"/>
      <c r="H18" s="14"/>
      <c r="I18" s="14"/>
    </row>
    <row r="19" spans="1:9" ht="15.5" x14ac:dyDescent="0.25">
      <c r="B19" s="328"/>
      <c r="C19" s="226">
        <v>2.2999999999999998</v>
      </c>
      <c r="D19" s="227" t="s">
        <v>207</v>
      </c>
      <c r="E19" s="12"/>
      <c r="F19" s="13"/>
      <c r="G19" s="12"/>
      <c r="H19" s="14"/>
      <c r="I19" s="14"/>
    </row>
    <row r="20" spans="1:9" ht="15.5" x14ac:dyDescent="0.25">
      <c r="B20" s="328"/>
      <c r="C20" s="226">
        <v>2.4</v>
      </c>
      <c r="D20" s="227" t="s">
        <v>208</v>
      </c>
      <c r="E20" s="12"/>
      <c r="F20" s="13"/>
      <c r="G20" s="12"/>
      <c r="H20" s="14"/>
      <c r="I20" s="14"/>
    </row>
    <row r="21" spans="1:9" ht="15.5" x14ac:dyDescent="0.25">
      <c r="B21" s="328"/>
      <c r="C21" s="232" t="s">
        <v>209</v>
      </c>
      <c r="D21" s="227" t="s">
        <v>210</v>
      </c>
      <c r="E21" s="12"/>
      <c r="F21" s="13"/>
      <c r="G21" s="12"/>
      <c r="H21" s="14"/>
      <c r="I21" s="14"/>
    </row>
    <row r="22" spans="1:9" ht="15.5" x14ac:dyDescent="0.25">
      <c r="A22" s="21"/>
      <c r="B22" s="328"/>
      <c r="C22" s="232" t="s">
        <v>211</v>
      </c>
      <c r="D22" s="233" t="s">
        <v>212</v>
      </c>
      <c r="E22" s="65">
        <f>SUM(E17:E21)</f>
        <v>0</v>
      </c>
      <c r="F22" s="65">
        <f t="shared" ref="F22:I22" si="0">SUM(F17:F21)</f>
        <v>0</v>
      </c>
      <c r="G22" s="65">
        <f t="shared" si="0"/>
        <v>0</v>
      </c>
      <c r="H22" s="65">
        <f t="shared" si="0"/>
        <v>0</v>
      </c>
      <c r="I22" s="65">
        <f t="shared" si="0"/>
        <v>0</v>
      </c>
    </row>
    <row r="23" spans="1:9" ht="15.5" x14ac:dyDescent="0.25">
      <c r="B23" s="329"/>
      <c r="C23" s="235"/>
      <c r="D23" s="236"/>
      <c r="E23" s="15"/>
      <c r="F23" s="16"/>
      <c r="G23" s="15"/>
      <c r="H23" s="17"/>
      <c r="I23" s="17"/>
    </row>
    <row r="24" spans="1:9" ht="15.5" x14ac:dyDescent="0.25">
      <c r="B24" s="327" t="s">
        <v>197</v>
      </c>
      <c r="C24" s="223" t="s">
        <v>213</v>
      </c>
      <c r="D24" s="237"/>
      <c r="E24" s="18"/>
      <c r="F24" s="19"/>
      <c r="G24" s="18"/>
      <c r="H24" s="20"/>
      <c r="I24" s="22"/>
    </row>
    <row r="25" spans="1:9" ht="15.5" x14ac:dyDescent="0.25">
      <c r="B25" s="328"/>
      <c r="C25" s="226">
        <v>3.1</v>
      </c>
      <c r="D25" s="227" t="s">
        <v>214</v>
      </c>
      <c r="E25" s="18"/>
      <c r="F25" s="19"/>
      <c r="G25" s="18"/>
      <c r="H25" s="20"/>
      <c r="I25" s="22"/>
    </row>
    <row r="26" spans="1:9" ht="14.15" customHeight="1" x14ac:dyDescent="0.25">
      <c r="B26" s="328"/>
      <c r="C26" s="226"/>
      <c r="D26" s="238" t="s">
        <v>215</v>
      </c>
      <c r="E26" s="12"/>
      <c r="F26" s="13"/>
      <c r="G26" s="12"/>
      <c r="H26" s="14"/>
      <c r="I26" s="14"/>
    </row>
    <row r="27" spans="1:9" ht="14.15" customHeight="1" x14ac:dyDescent="0.25">
      <c r="B27" s="328"/>
      <c r="C27" s="226"/>
      <c r="D27" s="238" t="s">
        <v>216</v>
      </c>
      <c r="E27" s="12"/>
      <c r="F27" s="13"/>
      <c r="G27" s="12"/>
      <c r="H27" s="14"/>
      <c r="I27" s="14"/>
    </row>
    <row r="28" spans="1:9" ht="14.15" customHeight="1" x14ac:dyDescent="0.25">
      <c r="B28" s="328"/>
      <c r="C28" s="226"/>
      <c r="D28" s="238" t="s">
        <v>217</v>
      </c>
      <c r="E28" s="12"/>
      <c r="F28" s="13"/>
      <c r="G28" s="12"/>
      <c r="H28" s="14"/>
      <c r="I28" s="14"/>
    </row>
    <row r="29" spans="1:9" ht="14.15" customHeight="1" x14ac:dyDescent="0.25">
      <c r="B29" s="328"/>
      <c r="C29" s="226"/>
      <c r="D29" s="238" t="s">
        <v>218</v>
      </c>
      <c r="E29" s="12"/>
      <c r="F29" s="13"/>
      <c r="G29" s="12"/>
      <c r="H29" s="14"/>
      <c r="I29" s="14"/>
    </row>
    <row r="30" spans="1:9" ht="14.15" customHeight="1" x14ac:dyDescent="0.25">
      <c r="B30" s="328"/>
      <c r="C30" s="226"/>
      <c r="D30" s="238" t="s">
        <v>219</v>
      </c>
      <c r="E30" s="12"/>
      <c r="F30" s="13"/>
      <c r="G30" s="12"/>
      <c r="H30" s="14"/>
      <c r="I30" s="14"/>
    </row>
    <row r="31" spans="1:9" ht="15.5" x14ac:dyDescent="0.25">
      <c r="B31" s="328"/>
      <c r="C31" s="226">
        <v>3.2</v>
      </c>
      <c r="D31" s="233" t="s">
        <v>220</v>
      </c>
      <c r="E31" s="12"/>
      <c r="F31" s="13"/>
      <c r="G31" s="12"/>
      <c r="H31" s="14"/>
      <c r="I31" s="14"/>
    </row>
    <row r="32" spans="1:9" ht="15.5" x14ac:dyDescent="0.25">
      <c r="B32" s="328"/>
      <c r="C32" s="226">
        <v>3.3</v>
      </c>
      <c r="D32" s="233" t="s">
        <v>221</v>
      </c>
      <c r="E32" s="12"/>
      <c r="F32" s="13"/>
      <c r="G32" s="12"/>
      <c r="H32" s="14"/>
      <c r="I32" s="14"/>
    </row>
    <row r="33" spans="2:9" ht="15.5" x14ac:dyDescent="0.25">
      <c r="B33" s="328"/>
      <c r="C33" s="226">
        <v>3.4</v>
      </c>
      <c r="D33" s="227" t="s">
        <v>222</v>
      </c>
      <c r="E33" s="12"/>
      <c r="F33" s="13"/>
      <c r="G33" s="12"/>
      <c r="H33" s="14"/>
      <c r="I33" s="14"/>
    </row>
    <row r="34" spans="2:9" ht="15.5" x14ac:dyDescent="0.25">
      <c r="B34" s="328"/>
      <c r="C34" s="226">
        <v>3.5</v>
      </c>
      <c r="D34" s="227" t="s">
        <v>223</v>
      </c>
      <c r="E34" s="12"/>
      <c r="F34" s="13"/>
      <c r="G34" s="12"/>
      <c r="H34" s="14"/>
      <c r="I34" s="14"/>
    </row>
    <row r="35" spans="2:9" ht="15.5" x14ac:dyDescent="0.25">
      <c r="B35" s="328"/>
      <c r="C35" s="226">
        <v>3.6</v>
      </c>
      <c r="D35" s="227" t="s">
        <v>224</v>
      </c>
      <c r="E35" s="65">
        <f>SUM(E26:E34)</f>
        <v>0</v>
      </c>
      <c r="F35" s="65">
        <f t="shared" ref="F35:I35" si="1">SUM(F26:F34)</f>
        <v>0</v>
      </c>
      <c r="G35" s="65">
        <f t="shared" si="1"/>
        <v>0</v>
      </c>
      <c r="H35" s="65">
        <f t="shared" si="1"/>
        <v>0</v>
      </c>
      <c r="I35" s="65">
        <f t="shared" si="1"/>
        <v>0</v>
      </c>
    </row>
    <row r="36" spans="2:9" ht="15.5" x14ac:dyDescent="0.25">
      <c r="B36" s="330"/>
      <c r="C36" s="240"/>
      <c r="D36" s="241"/>
      <c r="E36" s="15"/>
      <c r="F36" s="16"/>
      <c r="G36" s="15"/>
      <c r="H36" s="17"/>
      <c r="I36" s="24"/>
    </row>
    <row r="37" spans="2:9" ht="15.5" x14ac:dyDescent="0.35">
      <c r="B37" s="327" t="s">
        <v>198</v>
      </c>
      <c r="C37" s="231" t="s">
        <v>225</v>
      </c>
      <c r="D37" s="242"/>
      <c r="E37" s="25"/>
      <c r="F37" s="25"/>
      <c r="G37" s="25"/>
      <c r="H37" s="25"/>
      <c r="I37" s="25"/>
    </row>
    <row r="38" spans="2:9" ht="15.5" x14ac:dyDescent="0.25">
      <c r="B38" s="26"/>
      <c r="C38" s="226">
        <v>4.0999999999999996</v>
      </c>
      <c r="D38" s="227" t="s">
        <v>226</v>
      </c>
      <c r="E38" s="12"/>
      <c r="F38" s="13"/>
      <c r="G38" s="12"/>
      <c r="H38" s="14"/>
      <c r="I38" s="14"/>
    </row>
    <row r="39" spans="2:9" ht="15.5" x14ac:dyDescent="0.25">
      <c r="B39" s="26"/>
      <c r="C39" s="226">
        <v>4.2</v>
      </c>
      <c r="D39" s="227" t="s">
        <v>227</v>
      </c>
      <c r="E39" s="12"/>
      <c r="F39" s="13"/>
      <c r="G39" s="12"/>
      <c r="H39" s="14"/>
      <c r="I39" s="14"/>
    </row>
    <row r="40" spans="2:9" ht="15.5" x14ac:dyDescent="0.25">
      <c r="B40" s="26"/>
      <c r="C40" s="226">
        <v>4.3</v>
      </c>
      <c r="D40" s="227" t="s">
        <v>228</v>
      </c>
      <c r="E40" s="12"/>
      <c r="F40" s="13"/>
      <c r="G40" s="12"/>
      <c r="H40" s="14"/>
      <c r="I40" s="14"/>
    </row>
    <row r="41" spans="2:9" ht="15.5" x14ac:dyDescent="0.25">
      <c r="B41" s="26"/>
      <c r="C41" s="226">
        <v>4.4000000000000004</v>
      </c>
      <c r="D41" s="227" t="s">
        <v>229</v>
      </c>
      <c r="E41" s="12"/>
      <c r="F41" s="13"/>
      <c r="G41" s="12"/>
      <c r="H41" s="14"/>
      <c r="I41" s="14"/>
    </row>
    <row r="42" spans="2:9" ht="31" x14ac:dyDescent="0.25">
      <c r="B42" s="26"/>
      <c r="C42" s="232">
        <v>4.5</v>
      </c>
      <c r="D42" s="233" t="s">
        <v>230</v>
      </c>
      <c r="E42" s="12"/>
      <c r="F42" s="13"/>
      <c r="G42" s="12"/>
      <c r="H42" s="14"/>
      <c r="I42" s="14"/>
    </row>
    <row r="43" spans="2:9" ht="31" x14ac:dyDescent="0.25">
      <c r="B43" s="26"/>
      <c r="C43" s="232">
        <v>4.5999999999999996</v>
      </c>
      <c r="D43" s="233" t="s">
        <v>231</v>
      </c>
      <c r="E43" s="12"/>
      <c r="F43" s="13"/>
      <c r="G43" s="12"/>
      <c r="H43" s="14"/>
      <c r="I43" s="14"/>
    </row>
    <row r="44" spans="2:9" ht="31" x14ac:dyDescent="0.25">
      <c r="B44" s="26"/>
      <c r="C44" s="232">
        <v>4.7</v>
      </c>
      <c r="D44" s="233" t="s">
        <v>232</v>
      </c>
      <c r="E44" s="65">
        <f t="shared" ref="E44:F44" si="2">SUM(E38:E43)</f>
        <v>0</v>
      </c>
      <c r="F44" s="65">
        <f t="shared" si="2"/>
        <v>0</v>
      </c>
      <c r="G44" s="65">
        <f>SUM(G38:G43)</f>
        <v>0</v>
      </c>
      <c r="H44" s="65">
        <f>SUM(H38:H43)</f>
        <v>0</v>
      </c>
      <c r="I44" s="65">
        <f>SUM(I38:I43)</f>
        <v>0</v>
      </c>
    </row>
    <row r="45" spans="2:9" ht="15.5" x14ac:dyDescent="0.35">
      <c r="B45" s="27"/>
      <c r="C45" s="235"/>
      <c r="D45" s="243"/>
      <c r="E45" s="28"/>
      <c r="F45" s="28"/>
      <c r="G45" s="28"/>
      <c r="H45" s="28"/>
      <c r="I45" s="28"/>
    </row>
    <row r="46" spans="2:9" ht="15.5" x14ac:dyDescent="0.25">
      <c r="B46" s="331" t="s">
        <v>233</v>
      </c>
      <c r="C46" s="223" t="s">
        <v>234</v>
      </c>
      <c r="D46" s="237"/>
      <c r="E46" s="18"/>
      <c r="F46" s="19"/>
      <c r="G46" s="18"/>
      <c r="H46" s="20"/>
      <c r="I46" s="22"/>
    </row>
    <row r="47" spans="2:9" ht="15.5" x14ac:dyDescent="0.25">
      <c r="B47" s="332"/>
      <c r="C47" s="226">
        <v>5.0999999999999996</v>
      </c>
      <c r="D47" s="227" t="s">
        <v>235</v>
      </c>
      <c r="E47" s="12"/>
      <c r="F47" s="13"/>
      <c r="G47" s="12"/>
      <c r="H47" s="14"/>
      <c r="I47" s="14"/>
    </row>
    <row r="48" spans="2:9" ht="15.5" x14ac:dyDescent="0.25">
      <c r="B48" s="332"/>
      <c r="C48" s="226">
        <v>5.2</v>
      </c>
      <c r="D48" s="227" t="s">
        <v>236</v>
      </c>
      <c r="E48" s="12"/>
      <c r="F48" s="13"/>
      <c r="G48" s="12"/>
      <c r="H48" s="14"/>
      <c r="I48" s="14"/>
    </row>
    <row r="49" spans="2:9" ht="15.5" x14ac:dyDescent="0.25">
      <c r="B49" s="332"/>
      <c r="C49" s="226">
        <v>5.3</v>
      </c>
      <c r="D49" s="227" t="s">
        <v>237</v>
      </c>
      <c r="E49" s="12"/>
      <c r="F49" s="13"/>
      <c r="G49" s="12"/>
      <c r="H49" s="14"/>
      <c r="I49" s="14"/>
    </row>
    <row r="50" spans="2:9" ht="15.5" x14ac:dyDescent="0.25">
      <c r="B50" s="332"/>
      <c r="C50" s="226">
        <v>5.4</v>
      </c>
      <c r="D50" s="227" t="s">
        <v>238</v>
      </c>
      <c r="E50" s="65">
        <f>SUM(E47:E49)</f>
        <v>0</v>
      </c>
      <c r="F50" s="65">
        <f>SUM(F47:F49)</f>
        <v>0</v>
      </c>
      <c r="G50" s="65">
        <f>SUM(G47:G49)</f>
        <v>0</v>
      </c>
      <c r="H50" s="65">
        <f>SUM(H47:H49)</f>
        <v>0</v>
      </c>
      <c r="I50" s="65">
        <f>SUM(I47:I49)</f>
        <v>0</v>
      </c>
    </row>
    <row r="51" spans="2:9" ht="15.5" x14ac:dyDescent="0.25">
      <c r="B51" s="333"/>
      <c r="C51" s="245"/>
      <c r="D51" s="246"/>
      <c r="E51" s="18"/>
      <c r="F51" s="19"/>
      <c r="G51" s="18"/>
      <c r="H51" s="20"/>
      <c r="I51" s="22"/>
    </row>
    <row r="52" spans="2:9" ht="15.5" x14ac:dyDescent="0.25">
      <c r="B52" s="334" t="s">
        <v>239</v>
      </c>
      <c r="C52" s="248" t="s">
        <v>240</v>
      </c>
      <c r="D52" s="249"/>
      <c r="E52" s="29"/>
      <c r="F52" s="30"/>
      <c r="G52" s="29"/>
      <c r="H52" s="31"/>
      <c r="I52" s="32"/>
    </row>
    <row r="53" spans="2:9" ht="15.5" x14ac:dyDescent="0.25">
      <c r="B53" s="328"/>
      <c r="C53" s="226">
        <v>6.1</v>
      </c>
      <c r="D53" s="227" t="s">
        <v>241</v>
      </c>
      <c r="E53" s="12"/>
      <c r="F53" s="12"/>
      <c r="G53" s="12"/>
      <c r="H53" s="12"/>
      <c r="I53" s="12"/>
    </row>
    <row r="54" spans="2:9" ht="16" thickBot="1" x14ac:dyDescent="0.3">
      <c r="B54" s="335"/>
      <c r="C54" s="251">
        <v>6.2</v>
      </c>
      <c r="D54" s="252" t="s">
        <v>242</v>
      </c>
      <c r="E54" s="33"/>
      <c r="F54" s="33"/>
      <c r="G54" s="33"/>
      <c r="H54" s="33"/>
      <c r="I54" s="33"/>
    </row>
  </sheetData>
  <sheetProtection algorithmName="SHA-512" hashValue="9AGzb+3tYWc2OG3SBLCWbSZZzwEMFnW7Pn0IXORaF6GUKH4JtEtVF9n5yIGzejCnLFbM+xobAbUor5FIY4hHkA==" saltValue="R4+zatF6TtYv771iFXEqFw==" spinCount="100000" sheet="1" objects="1" scenarios="1"/>
  <protectedRanges>
    <protectedRange password="DFC0" sqref="E53:I54" name="Range5_1"/>
    <protectedRange password="DFC0" sqref="E26:I34" name="Range3_1"/>
    <protectedRange password="DFC0" sqref="E14:I14" name="Range1_1"/>
    <protectedRange password="DFC0" sqref="E17:I21" name="Range2_1"/>
    <protectedRange password="DFC0" sqref="E47:I49" name="Range4_1"/>
  </protectedRanges>
  <conditionalFormatting sqref="E35:I50">
    <cfRule type="cellIs" dxfId="7"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5295E-A102-484E-ACCE-B324888836A6}">
  <sheetPr>
    <tabColor theme="0"/>
  </sheetPr>
  <dimension ref="A1:I54"/>
  <sheetViews>
    <sheetView showGridLines="0" topLeftCell="A6" zoomScale="79" zoomScaleNormal="79" workbookViewId="0">
      <selection activeCell="I12" sqref="I12"/>
    </sheetView>
  </sheetViews>
  <sheetFormatPr defaultColWidth="7.84375" defaultRowHeight="15.5" x14ac:dyDescent="0.35"/>
  <cols>
    <col min="1" max="1" width="1.4609375" style="8" customWidth="1"/>
    <col min="2" max="2" width="3" style="8" customWidth="1"/>
    <col min="3" max="3" width="4.84375" style="8" customWidth="1"/>
    <col min="4" max="4" width="51.07421875" style="8" customWidth="1"/>
    <col min="5" max="9" width="17.07421875" style="8" customWidth="1"/>
    <col min="10" max="16384" width="7.84375" style="8"/>
  </cols>
  <sheetData>
    <row r="1" spans="2:9" x14ac:dyDescent="0.35">
      <c r="B1" s="7" t="s">
        <v>60</v>
      </c>
      <c r="C1" s="7"/>
      <c r="D1" s="7"/>
      <c r="E1" s="213"/>
      <c r="F1" s="213"/>
      <c r="G1" s="213"/>
      <c r="H1" s="213"/>
      <c r="I1" s="213"/>
    </row>
    <row r="2" spans="2:9" x14ac:dyDescent="0.35">
      <c r="B2" s="7" t="s">
        <v>349</v>
      </c>
      <c r="C2" s="7"/>
      <c r="D2" s="7"/>
      <c r="E2" s="213"/>
      <c r="F2" s="213"/>
      <c r="G2" s="213"/>
      <c r="H2" s="213"/>
      <c r="I2" s="213"/>
    </row>
    <row r="3" spans="2:9" x14ac:dyDescent="0.35">
      <c r="B3" s="7" t="s">
        <v>350</v>
      </c>
      <c r="C3" s="7"/>
      <c r="D3" s="7"/>
      <c r="E3" s="213"/>
      <c r="F3" s="213"/>
      <c r="G3" s="213"/>
      <c r="H3" s="213"/>
      <c r="I3" s="213"/>
    </row>
    <row r="4" spans="2:9" x14ac:dyDescent="0.35">
      <c r="B4" s="7"/>
      <c r="C4" s="7"/>
      <c r="D4" s="7"/>
      <c r="E4" s="213"/>
      <c r="F4" s="213"/>
      <c r="G4" s="213"/>
      <c r="H4" s="213"/>
      <c r="I4" s="213"/>
    </row>
    <row r="5" spans="2:9" ht="16" thickBot="1" x14ac:dyDescent="0.4">
      <c r="B5" s="210" t="str">
        <f>'Cover-Input Page '!C7</f>
        <v>Wellfleet Insurance Company</v>
      </c>
      <c r="C5" s="214"/>
      <c r="D5" s="214"/>
    </row>
    <row r="6" spans="2:9" ht="16" thickBot="1" x14ac:dyDescent="0.4">
      <c r="B6" s="211" t="str">
        <f>"Reporting Year: "&amp;'Cover-Input Page '!$C5</f>
        <v>Reporting Year: 2025</v>
      </c>
      <c r="C6" s="215"/>
      <c r="D6" s="215"/>
    </row>
    <row r="7" spans="2:9" x14ac:dyDescent="0.35">
      <c r="B7" s="7" t="s">
        <v>199</v>
      </c>
      <c r="C7" s="7"/>
      <c r="D7" s="7"/>
      <c r="E7" s="213"/>
      <c r="F7" s="213"/>
      <c r="G7" s="213"/>
      <c r="H7" s="213"/>
      <c r="I7" s="213"/>
    </row>
    <row r="9" spans="2:9" ht="16" thickBot="1" x14ac:dyDescent="0.4">
      <c r="D9" s="34"/>
    </row>
    <row r="10" spans="2:9" ht="16" thickBot="1" x14ac:dyDescent="0.4">
      <c r="B10" s="7" t="s">
        <v>243</v>
      </c>
      <c r="E10" s="216"/>
      <c r="F10" s="217"/>
      <c r="G10" s="217" t="s">
        <v>201</v>
      </c>
      <c r="H10" s="217"/>
      <c r="I10" s="218"/>
    </row>
    <row r="11" spans="2:9" ht="14.15" customHeight="1" thickBot="1" x14ac:dyDescent="0.4">
      <c r="E11" s="219"/>
      <c r="F11" s="220"/>
      <c r="G11" s="220"/>
      <c r="H11" s="220"/>
      <c r="I11" s="221"/>
    </row>
    <row r="12" spans="2:9" ht="16" thickBot="1" x14ac:dyDescent="0.4">
      <c r="E12" s="212">
        <f>'Cover-Input Page '!$C5-5</f>
        <v>2020</v>
      </c>
      <c r="F12" s="212">
        <f>'Cover-Input Page '!$C5-4</f>
        <v>2021</v>
      </c>
      <c r="G12" s="212">
        <f>'Cover-Input Page '!$C5-3</f>
        <v>2022</v>
      </c>
      <c r="H12" s="212">
        <f>'Cover-Input Page '!$C5-2</f>
        <v>2023</v>
      </c>
      <c r="I12" s="212">
        <f>'Cover-Input Page '!$C5-1</f>
        <v>2024</v>
      </c>
    </row>
    <row r="13" spans="2:9" x14ac:dyDescent="0.35">
      <c r="B13" s="222" t="s">
        <v>195</v>
      </c>
      <c r="C13" s="223" t="s">
        <v>202</v>
      </c>
      <c r="D13" s="224"/>
      <c r="E13" s="9"/>
      <c r="F13" s="10"/>
      <c r="G13" s="9"/>
      <c r="H13" s="11"/>
      <c r="I13" s="11"/>
    </row>
    <row r="14" spans="2:9" x14ac:dyDescent="0.35">
      <c r="B14" s="225"/>
      <c r="C14" s="226">
        <v>1.1000000000000001</v>
      </c>
      <c r="D14" s="227" t="s">
        <v>203</v>
      </c>
      <c r="E14" s="12">
        <v>76978595</v>
      </c>
      <c r="F14" s="13">
        <v>88369693</v>
      </c>
      <c r="G14" s="12">
        <v>98527633</v>
      </c>
      <c r="H14" s="14">
        <v>99640967</v>
      </c>
      <c r="I14" s="14">
        <v>98173780</v>
      </c>
    </row>
    <row r="15" spans="2:9" x14ac:dyDescent="0.35">
      <c r="B15" s="228"/>
      <c r="C15" s="229"/>
      <c r="D15" s="230"/>
      <c r="E15" s="15"/>
      <c r="F15" s="16"/>
      <c r="G15" s="15"/>
      <c r="H15" s="17"/>
      <c r="I15" s="17"/>
    </row>
    <row r="16" spans="2:9" x14ac:dyDescent="0.35">
      <c r="B16" s="225" t="s">
        <v>196</v>
      </c>
      <c r="C16" s="231" t="s">
        <v>204</v>
      </c>
      <c r="D16" s="227"/>
      <c r="E16" s="18"/>
      <c r="F16" s="19"/>
      <c r="G16" s="18"/>
      <c r="H16" s="20"/>
      <c r="I16" s="20"/>
    </row>
    <row r="17" spans="1:9" x14ac:dyDescent="0.35">
      <c r="B17" s="225"/>
      <c r="C17" s="226">
        <v>2.1</v>
      </c>
      <c r="D17" s="227" t="s">
        <v>205</v>
      </c>
      <c r="E17" s="12">
        <v>66955035</v>
      </c>
      <c r="F17" s="13">
        <v>73675933</v>
      </c>
      <c r="G17" s="12">
        <v>79156280</v>
      </c>
      <c r="H17" s="14">
        <v>91486746</v>
      </c>
      <c r="I17" s="14">
        <v>109941098</v>
      </c>
    </row>
    <row r="18" spans="1:9" x14ac:dyDescent="0.35">
      <c r="B18" s="225"/>
      <c r="C18" s="226">
        <v>2.2000000000000002</v>
      </c>
      <c r="D18" s="227" t="s">
        <v>206</v>
      </c>
      <c r="E18" s="12">
        <v>0</v>
      </c>
      <c r="F18" s="13">
        <v>0</v>
      </c>
      <c r="G18" s="12">
        <v>0</v>
      </c>
      <c r="H18" s="14">
        <v>0</v>
      </c>
      <c r="I18" s="14"/>
    </row>
    <row r="19" spans="1:9" x14ac:dyDescent="0.35">
      <c r="B19" s="225"/>
      <c r="C19" s="226">
        <v>2.2999999999999998</v>
      </c>
      <c r="D19" s="227" t="s">
        <v>207</v>
      </c>
      <c r="E19" s="12">
        <v>0</v>
      </c>
      <c r="F19" s="13">
        <v>0</v>
      </c>
      <c r="G19" s="12">
        <v>0</v>
      </c>
      <c r="H19" s="14">
        <v>0</v>
      </c>
      <c r="I19" s="14"/>
    </row>
    <row r="20" spans="1:9" x14ac:dyDescent="0.35">
      <c r="B20" s="225"/>
      <c r="C20" s="226">
        <v>2.4</v>
      </c>
      <c r="D20" s="227" t="s">
        <v>208</v>
      </c>
      <c r="E20" s="12">
        <v>0</v>
      </c>
      <c r="F20" s="13">
        <v>0</v>
      </c>
      <c r="G20" s="12">
        <v>0</v>
      </c>
      <c r="H20" s="14">
        <v>0</v>
      </c>
      <c r="I20" s="14"/>
    </row>
    <row r="21" spans="1:9" x14ac:dyDescent="0.35">
      <c r="B21" s="225"/>
      <c r="C21" s="232" t="s">
        <v>209</v>
      </c>
      <c r="D21" s="227" t="s">
        <v>210</v>
      </c>
      <c r="E21" s="12">
        <v>0</v>
      </c>
      <c r="F21" s="13">
        <v>0</v>
      </c>
      <c r="G21" s="12">
        <v>0</v>
      </c>
      <c r="H21" s="14">
        <v>0</v>
      </c>
      <c r="I21" s="14"/>
    </row>
    <row r="22" spans="1:9" x14ac:dyDescent="0.35">
      <c r="A22" s="35"/>
      <c r="B22" s="225"/>
      <c r="C22" s="232" t="s">
        <v>211</v>
      </c>
      <c r="D22" s="233" t="s">
        <v>212</v>
      </c>
      <c r="E22" s="65">
        <f>SUM(E17:E21)</f>
        <v>66955035</v>
      </c>
      <c r="F22" s="65">
        <f t="shared" ref="F22:I22" si="0">SUM(F17:F21)</f>
        <v>73675933</v>
      </c>
      <c r="G22" s="65">
        <f t="shared" si="0"/>
        <v>79156280</v>
      </c>
      <c r="H22" s="65">
        <f t="shared" si="0"/>
        <v>91486746</v>
      </c>
      <c r="I22" s="65">
        <f t="shared" si="0"/>
        <v>109941098</v>
      </c>
    </row>
    <row r="23" spans="1:9" x14ac:dyDescent="0.35">
      <c r="B23" s="228"/>
      <c r="C23" s="235"/>
      <c r="D23" s="236"/>
      <c r="E23" s="15"/>
      <c r="F23" s="16"/>
      <c r="G23" s="15"/>
      <c r="H23" s="17"/>
      <c r="I23" s="17"/>
    </row>
    <row r="24" spans="1:9" x14ac:dyDescent="0.35">
      <c r="B24" s="222" t="s">
        <v>197</v>
      </c>
      <c r="C24" s="223" t="s">
        <v>213</v>
      </c>
      <c r="D24" s="237"/>
      <c r="E24" s="18"/>
      <c r="F24" s="19"/>
      <c r="G24" s="18"/>
      <c r="H24" s="20"/>
      <c r="I24" s="22"/>
    </row>
    <row r="25" spans="1:9" x14ac:dyDescent="0.35">
      <c r="B25" s="225"/>
      <c r="C25" s="226">
        <v>3.1</v>
      </c>
      <c r="D25" s="227" t="s">
        <v>214</v>
      </c>
      <c r="E25" s="18"/>
      <c r="F25" s="19"/>
      <c r="G25" s="18"/>
      <c r="H25" s="20"/>
      <c r="I25" s="22"/>
    </row>
    <row r="26" spans="1:9" ht="14.15" customHeight="1" x14ac:dyDescent="0.35">
      <c r="B26" s="225"/>
      <c r="C26" s="226"/>
      <c r="D26" s="238" t="s">
        <v>215</v>
      </c>
      <c r="E26" s="12">
        <v>718067.75859458488</v>
      </c>
      <c r="F26" s="13">
        <v>32998.119739946342</v>
      </c>
      <c r="G26" s="12">
        <v>934055.74855996552</v>
      </c>
      <c r="H26" s="14">
        <v>766239.95210074564</v>
      </c>
      <c r="I26" s="14">
        <f>-0.04*I14</f>
        <v>-3926951.2</v>
      </c>
    </row>
    <row r="27" spans="1:9" ht="14.15" customHeight="1" x14ac:dyDescent="0.35">
      <c r="B27" s="225"/>
      <c r="C27" s="226"/>
      <c r="D27" s="238" t="s">
        <v>216</v>
      </c>
      <c r="E27" s="12">
        <v>109367.4882633793</v>
      </c>
      <c r="F27" s="13">
        <v>17631.076882315516</v>
      </c>
      <c r="G27" s="12">
        <v>105090.82112645557</v>
      </c>
      <c r="H27" s="14">
        <v>114932.89143730944</v>
      </c>
      <c r="I27" s="14">
        <f>26708*3.35</f>
        <v>89471.8</v>
      </c>
    </row>
    <row r="28" spans="1:9" ht="14.15" customHeight="1" x14ac:dyDescent="0.35">
      <c r="B28" s="225"/>
      <c r="C28" s="226"/>
      <c r="D28" s="238" t="s">
        <v>217</v>
      </c>
      <c r="E28" s="12">
        <v>849912.14574541338</v>
      </c>
      <c r="F28" s="13">
        <v>0</v>
      </c>
      <c r="G28" s="12">
        <v>0</v>
      </c>
      <c r="H28" s="14">
        <v>0</v>
      </c>
      <c r="I28" s="14">
        <v>0</v>
      </c>
    </row>
    <row r="29" spans="1:9" ht="14.15" customHeight="1" x14ac:dyDescent="0.35">
      <c r="B29" s="225"/>
      <c r="C29" s="226"/>
      <c r="D29" s="238" t="s">
        <v>218</v>
      </c>
      <c r="E29" s="12"/>
      <c r="F29" s="13"/>
      <c r="G29" s="12"/>
      <c r="H29" s="14"/>
      <c r="I29" s="14"/>
    </row>
    <row r="30" spans="1:9" ht="14.15" customHeight="1" x14ac:dyDescent="0.35">
      <c r="B30" s="225"/>
      <c r="C30" s="226"/>
      <c r="D30" s="238" t="s">
        <v>219</v>
      </c>
      <c r="E30" s="12"/>
      <c r="F30" s="13"/>
      <c r="G30" s="12"/>
      <c r="H30" s="14"/>
      <c r="I30" s="14"/>
    </row>
    <row r="31" spans="1:9" x14ac:dyDescent="0.35">
      <c r="B31" s="225"/>
      <c r="C31" s="226">
        <v>3.2</v>
      </c>
      <c r="D31" s="233" t="s">
        <v>220</v>
      </c>
      <c r="E31" s="12">
        <v>1808996.9824999999</v>
      </c>
      <c r="F31" s="13">
        <v>2076687.7855</v>
      </c>
      <c r="G31" s="12">
        <v>2315399.3755000001</v>
      </c>
      <c r="H31" s="14">
        <v>2341562.7245</v>
      </c>
      <c r="I31" s="23">
        <f>0.0235*I14</f>
        <v>2307083.83</v>
      </c>
    </row>
    <row r="32" spans="1:9" x14ac:dyDescent="0.35">
      <c r="B32" s="225"/>
      <c r="C32" s="226">
        <v>3.3</v>
      </c>
      <c r="D32" s="233" t="s">
        <v>221</v>
      </c>
      <c r="E32" s="12"/>
      <c r="F32" s="13"/>
      <c r="G32" s="12"/>
      <c r="H32" s="14"/>
      <c r="I32" s="23"/>
    </row>
    <row r="33" spans="2:9" x14ac:dyDescent="0.35">
      <c r="B33" s="225"/>
      <c r="C33" s="226">
        <v>3.4</v>
      </c>
      <c r="D33" s="227" t="s">
        <v>222</v>
      </c>
      <c r="E33" s="12">
        <v>126184.20357749682</v>
      </c>
      <c r="F33" s="13">
        <v>171751.54891389521</v>
      </c>
      <c r="G33" s="12">
        <v>336878.53272553883</v>
      </c>
      <c r="H33" s="14">
        <v>314554.24647888402</v>
      </c>
      <c r="I33" s="14">
        <f>0.0039*I14</f>
        <v>382877.74199999997</v>
      </c>
    </row>
    <row r="34" spans="2:9" x14ac:dyDescent="0.35">
      <c r="B34" s="225"/>
      <c r="C34" s="226">
        <v>3.5</v>
      </c>
      <c r="D34" s="227" t="s">
        <v>223</v>
      </c>
      <c r="E34" s="12"/>
      <c r="F34" s="13"/>
      <c r="G34" s="12"/>
      <c r="H34" s="14"/>
      <c r="I34" s="14"/>
    </row>
    <row r="35" spans="2:9" x14ac:dyDescent="0.35">
      <c r="B35" s="225"/>
      <c r="C35" s="226">
        <v>3.6</v>
      </c>
      <c r="D35" s="227" t="s">
        <v>224</v>
      </c>
      <c r="E35" s="65">
        <f>SUM(E26:E34)</f>
        <v>3612528.5786808748</v>
      </c>
      <c r="F35" s="65">
        <f t="shared" ref="F35:I35" si="1">SUM(F26:F34)</f>
        <v>2299068.5310361572</v>
      </c>
      <c r="G35" s="65">
        <f t="shared" si="1"/>
        <v>3691424.4779119603</v>
      </c>
      <c r="H35" s="65">
        <f t="shared" si="1"/>
        <v>3537289.8145169392</v>
      </c>
      <c r="I35" s="65">
        <f t="shared" si="1"/>
        <v>-1147517.8280000002</v>
      </c>
    </row>
    <row r="36" spans="2:9" x14ac:dyDescent="0.35">
      <c r="B36" s="239"/>
      <c r="C36" s="240"/>
      <c r="D36" s="241"/>
      <c r="E36" s="15"/>
      <c r="F36" s="16"/>
      <c r="G36" s="15"/>
      <c r="H36" s="17"/>
      <c r="I36" s="24"/>
    </row>
    <row r="37" spans="2:9" x14ac:dyDescent="0.35">
      <c r="B37" s="222" t="s">
        <v>198</v>
      </c>
      <c r="C37" s="231" t="s">
        <v>225</v>
      </c>
      <c r="D37" s="242"/>
      <c r="E37" s="25"/>
      <c r="F37" s="25"/>
      <c r="G37" s="25"/>
      <c r="H37" s="25"/>
      <c r="I37" s="25"/>
    </row>
    <row r="38" spans="2:9" x14ac:dyDescent="0.35">
      <c r="B38" s="36"/>
      <c r="C38" s="226">
        <v>4.0999999999999996</v>
      </c>
      <c r="D38" s="227" t="s">
        <v>226</v>
      </c>
      <c r="E38" s="12">
        <v>615828.88579312887</v>
      </c>
      <c r="F38" s="13">
        <v>706957.45943848009</v>
      </c>
      <c r="G38" s="12">
        <v>777593.50697235111</v>
      </c>
      <c r="H38" s="14">
        <v>797127.59005280933</v>
      </c>
      <c r="I38" s="14">
        <f>0.008*I14</f>
        <v>785390.24</v>
      </c>
    </row>
    <row r="39" spans="2:9" x14ac:dyDescent="0.35">
      <c r="B39" s="36"/>
      <c r="C39" s="226">
        <v>4.2</v>
      </c>
      <c r="D39" s="227" t="s">
        <v>227</v>
      </c>
      <c r="E39" s="12"/>
      <c r="F39" s="13"/>
      <c r="G39" s="12"/>
      <c r="H39" s="14"/>
      <c r="I39" s="14"/>
    </row>
    <row r="40" spans="2:9" x14ac:dyDescent="0.35">
      <c r="B40" s="36"/>
      <c r="C40" s="226">
        <v>4.3</v>
      </c>
      <c r="D40" s="227" t="s">
        <v>228</v>
      </c>
      <c r="E40" s="12"/>
      <c r="F40" s="13"/>
      <c r="G40" s="12"/>
      <c r="H40" s="14"/>
      <c r="I40" s="14"/>
    </row>
    <row r="41" spans="2:9" x14ac:dyDescent="0.35">
      <c r="B41" s="36"/>
      <c r="C41" s="226">
        <v>4.4000000000000004</v>
      </c>
      <c r="D41" s="227" t="s">
        <v>229</v>
      </c>
      <c r="E41" s="12"/>
      <c r="F41" s="13"/>
      <c r="G41" s="12"/>
      <c r="H41" s="14"/>
      <c r="I41" s="14"/>
    </row>
    <row r="42" spans="2:9" ht="31" x14ac:dyDescent="0.35">
      <c r="B42" s="36"/>
      <c r="C42" s="232">
        <v>4.5</v>
      </c>
      <c r="D42" s="233" t="s">
        <v>230</v>
      </c>
      <c r="E42" s="12"/>
      <c r="F42" s="13"/>
      <c r="G42" s="12"/>
      <c r="H42" s="14"/>
      <c r="I42" s="14"/>
    </row>
    <row r="43" spans="2:9" ht="31" x14ac:dyDescent="0.35">
      <c r="B43" s="36"/>
      <c r="C43" s="232">
        <v>4.5999999999999996</v>
      </c>
      <c r="D43" s="233" t="s">
        <v>231</v>
      </c>
      <c r="E43" s="12"/>
      <c r="F43" s="13"/>
      <c r="G43" s="12"/>
      <c r="H43" s="14"/>
      <c r="I43" s="23"/>
    </row>
    <row r="44" spans="2:9" ht="31" x14ac:dyDescent="0.35">
      <c r="B44" s="36"/>
      <c r="C44" s="232">
        <v>4.7</v>
      </c>
      <c r="D44" s="233" t="s">
        <v>232</v>
      </c>
      <c r="E44" s="65">
        <f>SUM(E38:E43)</f>
        <v>615828.88579312887</v>
      </c>
      <c r="F44" s="65">
        <f>SUM(F38:F43)</f>
        <v>706957.45943848009</v>
      </c>
      <c r="G44" s="65">
        <f>SUM(G38:G43)</f>
        <v>777593.50697235111</v>
      </c>
      <c r="H44" s="65">
        <f>SUM(H38:H43)</f>
        <v>797127.59005280933</v>
      </c>
      <c r="I44" s="65">
        <f>SUM(I38:I43)</f>
        <v>785390.24</v>
      </c>
    </row>
    <row r="45" spans="2:9" x14ac:dyDescent="0.35">
      <c r="B45" s="37"/>
      <c r="C45" s="235"/>
      <c r="D45" s="243"/>
      <c r="E45" s="28"/>
      <c r="F45" s="28"/>
      <c r="G45" s="28"/>
      <c r="H45" s="28"/>
      <c r="I45" s="28"/>
    </row>
    <row r="46" spans="2:9" x14ac:dyDescent="0.35">
      <c r="B46" s="244" t="s">
        <v>233</v>
      </c>
      <c r="C46" s="223" t="s">
        <v>234</v>
      </c>
      <c r="D46" s="237"/>
      <c r="E46" s="18"/>
      <c r="F46" s="19"/>
      <c r="G46" s="18"/>
      <c r="H46" s="20"/>
      <c r="I46" s="22"/>
    </row>
    <row r="47" spans="2:9" x14ac:dyDescent="0.35">
      <c r="B47" s="226"/>
      <c r="C47" s="226">
        <v>5.0999999999999996</v>
      </c>
      <c r="D47" s="227" t="s">
        <v>235</v>
      </c>
      <c r="E47" s="12">
        <v>9704107.0278556906</v>
      </c>
      <c r="F47" s="13">
        <v>11525387.845122896</v>
      </c>
      <c r="G47" s="12">
        <v>13529364.281668616</v>
      </c>
      <c r="H47" s="14">
        <v>12823607.690532692</v>
      </c>
      <c r="I47" s="14">
        <f>0.1325*I14</f>
        <v>13008025.850000001</v>
      </c>
    </row>
    <row r="48" spans="2:9" x14ac:dyDescent="0.35">
      <c r="B48" s="226"/>
      <c r="C48" s="226">
        <v>5.2</v>
      </c>
      <c r="D48" s="227" t="s">
        <v>236</v>
      </c>
      <c r="E48" s="12">
        <v>1007497.4591422705</v>
      </c>
      <c r="F48" s="13">
        <v>1507386.5350368605</v>
      </c>
      <c r="G48" s="12">
        <v>0</v>
      </c>
      <c r="H48" s="14">
        <v>-956138.09680181276</v>
      </c>
      <c r="I48" s="14">
        <v>0</v>
      </c>
    </row>
    <row r="49" spans="2:9" x14ac:dyDescent="0.35">
      <c r="B49" s="226"/>
      <c r="C49" s="226">
        <v>5.3</v>
      </c>
      <c r="D49" s="227" t="s">
        <v>237</v>
      </c>
      <c r="E49" s="12">
        <v>173605.16981737278</v>
      </c>
      <c r="F49" s="13">
        <v>350983.09779872658</v>
      </c>
      <c r="G49" s="12">
        <v>437236.99064985628</v>
      </c>
      <c r="H49" s="14">
        <v>488443.02683995164</v>
      </c>
      <c r="I49" s="14">
        <f>0.005*I14</f>
        <v>490868.9</v>
      </c>
    </row>
    <row r="50" spans="2:9" x14ac:dyDescent="0.35">
      <c r="B50" s="226"/>
      <c r="C50" s="226">
        <v>5.4</v>
      </c>
      <c r="D50" s="227" t="s">
        <v>238</v>
      </c>
      <c r="E50" s="65">
        <f>SUM(E47:E49)</f>
        <v>10885209.656815335</v>
      </c>
      <c r="F50" s="65">
        <f>SUM(F47:F49)</f>
        <v>13383757.477958484</v>
      </c>
      <c r="G50" s="65">
        <f>SUM(G47:G49)</f>
        <v>13966601.272318473</v>
      </c>
      <c r="H50" s="65">
        <f>SUM(H47:H49)</f>
        <v>12355912.620570829</v>
      </c>
      <c r="I50" s="65">
        <f>SUM(I47:I49)</f>
        <v>13498894.750000002</v>
      </c>
    </row>
    <row r="51" spans="2:9" x14ac:dyDescent="0.35">
      <c r="B51" s="245"/>
      <c r="C51" s="245"/>
      <c r="D51" s="246"/>
      <c r="E51" s="18"/>
      <c r="F51" s="19"/>
      <c r="G51" s="18"/>
      <c r="H51" s="20"/>
      <c r="I51" s="22"/>
    </row>
    <row r="52" spans="2:9" x14ac:dyDescent="0.35">
      <c r="B52" s="247" t="s">
        <v>239</v>
      </c>
      <c r="C52" s="248" t="s">
        <v>240</v>
      </c>
      <c r="D52" s="249"/>
      <c r="E52" s="29"/>
      <c r="F52" s="30"/>
      <c r="G52" s="29"/>
      <c r="H52" s="31"/>
      <c r="I52" s="32"/>
    </row>
    <row r="53" spans="2:9" x14ac:dyDescent="0.35">
      <c r="B53" s="225"/>
      <c r="C53" s="226">
        <v>6.1</v>
      </c>
      <c r="D53" s="227" t="s">
        <v>241</v>
      </c>
      <c r="E53" s="12">
        <v>23298</v>
      </c>
      <c r="F53" s="12">
        <v>26204</v>
      </c>
      <c r="G53" s="12">
        <v>27412</v>
      </c>
      <c r="H53" s="12">
        <v>27923</v>
      </c>
      <c r="I53" s="12">
        <v>26708</v>
      </c>
    </row>
    <row r="54" spans="2:9" ht="16" thickBot="1" x14ac:dyDescent="0.4">
      <c r="B54" s="250"/>
      <c r="C54" s="251">
        <v>6.2</v>
      </c>
      <c r="D54" s="252" t="s">
        <v>242</v>
      </c>
      <c r="E54" s="33">
        <v>279576</v>
      </c>
      <c r="F54" s="33">
        <v>314449</v>
      </c>
      <c r="G54" s="33">
        <v>328945</v>
      </c>
      <c r="H54" s="33">
        <v>335075</v>
      </c>
      <c r="I54" s="33">
        <v>320496</v>
      </c>
    </row>
  </sheetData>
  <sheetProtection algorithmName="SHA-512" hashValue="6iS+xGnfkWdy5hJP5cFUiFuG81s6iZGqcoiwmVBkwnj7V32Xd7ljpq8E43lba9xByZmNMyLjV4nQNWb0RCYAvQ==" saltValue="TV1YHCnKugQS0WYm9kZXzQ==" spinCount="100000" sheet="1" objects="1" scenarios="1"/>
  <protectedRanges>
    <protectedRange password="DFC0" sqref="E53:I54" name="Range5"/>
    <protectedRange password="DFC0" sqref="E26:I34" name="Range3"/>
    <protectedRange password="DFC0" sqref="E14:I14" name="Range1"/>
    <protectedRange password="DFC0" sqref="E17:I21" name="Range2"/>
    <protectedRange password="DFC0" sqref="E47:I49" name="Range4"/>
  </protectedRanges>
  <conditionalFormatting sqref="E35:I50">
    <cfRule type="cellIs" dxfId="6"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7CC62-6776-4DF9-B83D-D769F88172FB}">
  <sheetPr>
    <tabColor theme="0"/>
  </sheetPr>
  <dimension ref="B1:I59"/>
  <sheetViews>
    <sheetView showGridLines="0" topLeftCell="A43" zoomScale="88" zoomScaleNormal="88" workbookViewId="0">
      <selection activeCell="I50" sqref="I50"/>
    </sheetView>
  </sheetViews>
  <sheetFormatPr defaultColWidth="7.84375" defaultRowHeight="15.5" x14ac:dyDescent="0.35"/>
  <cols>
    <col min="1" max="1" width="1.4609375" style="8" customWidth="1"/>
    <col min="2" max="2" width="3" style="8" customWidth="1"/>
    <col min="3" max="3" width="4.84375" style="8" customWidth="1"/>
    <col min="4" max="4" width="37.4609375" style="8" customWidth="1"/>
    <col min="5" max="9" width="17.84375" style="8" customWidth="1"/>
    <col min="10" max="16384" width="7.84375" style="8"/>
  </cols>
  <sheetData>
    <row r="1" spans="2:9" x14ac:dyDescent="0.35">
      <c r="B1" s="7" t="s">
        <v>60</v>
      </c>
      <c r="C1" s="7"/>
      <c r="D1" s="7"/>
      <c r="E1" s="105"/>
      <c r="F1" s="105"/>
      <c r="G1" s="213"/>
      <c r="H1" s="213"/>
      <c r="I1" s="213"/>
    </row>
    <row r="2" spans="2:9" x14ac:dyDescent="0.35">
      <c r="B2" s="7" t="s">
        <v>349</v>
      </c>
      <c r="C2" s="7"/>
      <c r="D2" s="7"/>
      <c r="F2" s="213"/>
      <c r="G2" s="213"/>
      <c r="H2" s="213"/>
      <c r="I2" s="213"/>
    </row>
    <row r="3" spans="2:9" x14ac:dyDescent="0.35">
      <c r="B3" s="7" t="s">
        <v>350</v>
      </c>
      <c r="C3" s="7"/>
      <c r="D3" s="7"/>
      <c r="E3" s="213"/>
      <c r="F3" s="213"/>
      <c r="G3" s="213"/>
      <c r="H3" s="213"/>
      <c r="I3" s="213"/>
    </row>
    <row r="4" spans="2:9" ht="10.5" customHeight="1" x14ac:dyDescent="0.35">
      <c r="B4" s="7"/>
    </row>
    <row r="5" spans="2:9" ht="16" thickBot="1" x14ac:dyDescent="0.4">
      <c r="B5" s="210" t="str">
        <f>'Cover-Input Page '!C7</f>
        <v>Wellfleet Insurance Company</v>
      </c>
      <c r="C5" s="214"/>
      <c r="D5" s="214"/>
    </row>
    <row r="6" spans="2:9" ht="16" thickBot="1" x14ac:dyDescent="0.4">
      <c r="B6" s="211" t="str">
        <f>"Reporting Year: "&amp;'Cover-Input Page '!$C5</f>
        <v>Reporting Year: 2025</v>
      </c>
      <c r="C6" s="215"/>
      <c r="D6" s="215"/>
    </row>
    <row r="7" spans="2:9" x14ac:dyDescent="0.35">
      <c r="B7" s="7" t="s">
        <v>199</v>
      </c>
      <c r="C7" s="7"/>
      <c r="D7" s="7"/>
      <c r="E7" s="213"/>
      <c r="F7" s="213"/>
      <c r="G7" s="213"/>
      <c r="H7" s="213"/>
      <c r="I7" s="213"/>
    </row>
    <row r="9" spans="2:9" ht="16" thickBot="1" x14ac:dyDescent="0.4">
      <c r="D9" s="34"/>
    </row>
    <row r="10" spans="2:9" ht="16" thickBot="1" x14ac:dyDescent="0.4">
      <c r="B10" s="7" t="s">
        <v>200</v>
      </c>
      <c r="E10" s="216"/>
      <c r="F10" s="217"/>
      <c r="G10" s="217" t="s">
        <v>201</v>
      </c>
      <c r="H10" s="217"/>
      <c r="I10" s="218"/>
    </row>
    <row r="11" spans="2:9" ht="14.15" customHeight="1" thickBot="1" x14ac:dyDescent="0.4">
      <c r="E11" s="219"/>
      <c r="F11" s="220"/>
      <c r="G11" s="220"/>
      <c r="H11" s="220"/>
      <c r="I11" s="221"/>
    </row>
    <row r="12" spans="2:9" ht="16" thickBot="1" x14ac:dyDescent="0.4">
      <c r="E12" s="253">
        <f>'Cover-Input Page '!$C5-5</f>
        <v>2020</v>
      </c>
      <c r="F12" s="253">
        <f>'Cover-Input Page '!$C5-4</f>
        <v>2021</v>
      </c>
      <c r="G12" s="254">
        <f>'Cover-Input Page '!$C5-3</f>
        <v>2022</v>
      </c>
      <c r="H12" s="253">
        <f>'Cover-Input Page '!$C5-2</f>
        <v>2023</v>
      </c>
      <c r="I12" s="255">
        <f>'Cover-Input Page '!$C5-1</f>
        <v>2024</v>
      </c>
    </row>
    <row r="13" spans="2:9" x14ac:dyDescent="0.35">
      <c r="B13" s="222" t="s">
        <v>195</v>
      </c>
      <c r="C13" s="223" t="s">
        <v>244</v>
      </c>
      <c r="D13" s="256"/>
      <c r="E13" s="18"/>
      <c r="F13" s="19"/>
      <c r="G13" s="18"/>
      <c r="H13" s="20"/>
      <c r="I13" s="20"/>
    </row>
    <row r="14" spans="2:9" x14ac:dyDescent="0.35">
      <c r="B14" s="225"/>
      <c r="C14" s="226">
        <v>1.1000000000000001</v>
      </c>
      <c r="D14" s="227" t="s">
        <v>245</v>
      </c>
      <c r="E14" s="65">
        <f>'LGHistData-HMO'!E14</f>
        <v>0</v>
      </c>
      <c r="F14" s="65">
        <f>'LGHistData-HMO'!F14</f>
        <v>0</v>
      </c>
      <c r="G14" s="65">
        <f>'LGHistData-HMO'!G14</f>
        <v>0</v>
      </c>
      <c r="H14" s="65">
        <f>'LGHistData-HMO'!H14</f>
        <v>0</v>
      </c>
      <c r="I14" s="65">
        <f>'LGHistData-HMO'!I14</f>
        <v>0</v>
      </c>
    </row>
    <row r="15" spans="2:9" x14ac:dyDescent="0.35">
      <c r="B15" s="225"/>
      <c r="C15" s="226">
        <v>1.2</v>
      </c>
      <c r="D15" s="227" t="s">
        <v>246</v>
      </c>
      <c r="E15" s="65">
        <f>'LGHistData-HMO'!E22</f>
        <v>0</v>
      </c>
      <c r="F15" s="65">
        <f>'LGHistData-HMO'!F22</f>
        <v>0</v>
      </c>
      <c r="G15" s="65">
        <f>'LGHistData-HMO'!G22</f>
        <v>0</v>
      </c>
      <c r="H15" s="65">
        <f>'LGHistData-HMO'!H22</f>
        <v>0</v>
      </c>
      <c r="I15" s="65">
        <f>'LGHistData-HMO'!I22</f>
        <v>0</v>
      </c>
    </row>
    <row r="16" spans="2:9" x14ac:dyDescent="0.35">
      <c r="B16" s="225"/>
      <c r="C16" s="226">
        <v>1.3</v>
      </c>
      <c r="D16" s="227" t="s">
        <v>235</v>
      </c>
      <c r="E16" s="65">
        <f>'LGHistData-HMO'!E50</f>
        <v>0</v>
      </c>
      <c r="F16" s="65">
        <f>'LGHistData-HMO'!F50</f>
        <v>0</v>
      </c>
      <c r="G16" s="65">
        <f>'LGHistData-HMO'!G50</f>
        <v>0</v>
      </c>
      <c r="H16" s="65">
        <f>'LGHistData-HMO'!H50</f>
        <v>0</v>
      </c>
      <c r="I16" s="65">
        <f>'LGHistData-HMO'!I50</f>
        <v>0</v>
      </c>
    </row>
    <row r="17" spans="2:9" x14ac:dyDescent="0.35">
      <c r="B17" s="225"/>
      <c r="C17" s="226">
        <v>1.4</v>
      </c>
      <c r="D17" s="227" t="s">
        <v>247</v>
      </c>
      <c r="E17" s="65">
        <f>'LGHistData-HMO'!E35</f>
        <v>0</v>
      </c>
      <c r="F17" s="65">
        <f>'LGHistData-HMO'!F35</f>
        <v>0</v>
      </c>
      <c r="G17" s="65">
        <f>'LGHistData-HMO'!G35</f>
        <v>0</v>
      </c>
      <c r="H17" s="65">
        <f>'LGHistData-HMO'!H35</f>
        <v>0</v>
      </c>
      <c r="I17" s="65">
        <f>'LGHistData-HMO'!I35</f>
        <v>0</v>
      </c>
    </row>
    <row r="18" spans="2:9" x14ac:dyDescent="0.35">
      <c r="B18" s="225"/>
      <c r="C18" s="226">
        <v>1.5</v>
      </c>
      <c r="D18" s="227" t="s">
        <v>248</v>
      </c>
      <c r="E18" s="65">
        <f>'LGHistData-HMO'!E44</f>
        <v>0</v>
      </c>
      <c r="F18" s="66">
        <f>'LGHistData-HMO'!F44</f>
        <v>0</v>
      </c>
      <c r="G18" s="65">
        <f>'LGHistData-HMO'!G44</f>
        <v>0</v>
      </c>
      <c r="H18" s="67">
        <f>'LGHistData-HMO'!H44</f>
        <v>0</v>
      </c>
      <c r="I18" s="67">
        <f>'LGHistData-HMO'!I44</f>
        <v>0</v>
      </c>
    </row>
    <row r="19" spans="2:9" x14ac:dyDescent="0.35">
      <c r="B19" s="228"/>
      <c r="C19" s="235"/>
      <c r="D19" s="236"/>
      <c r="E19" s="15"/>
      <c r="F19" s="16"/>
      <c r="G19" s="15"/>
      <c r="H19" s="17"/>
      <c r="I19" s="17"/>
    </row>
    <row r="20" spans="2:9" x14ac:dyDescent="0.35">
      <c r="B20" s="222" t="s">
        <v>196</v>
      </c>
      <c r="C20" s="223" t="s">
        <v>249</v>
      </c>
      <c r="D20" s="237"/>
      <c r="E20" s="18"/>
      <c r="F20" s="19"/>
      <c r="G20" s="18"/>
      <c r="H20" s="20"/>
      <c r="I20" s="22"/>
    </row>
    <row r="21" spans="2:9" x14ac:dyDescent="0.35">
      <c r="B21" s="225"/>
      <c r="C21" s="226">
        <v>2.1</v>
      </c>
      <c r="D21" s="227" t="s">
        <v>245</v>
      </c>
      <c r="E21" s="65" t="str">
        <f>IF('LGHistData-HMO'!E$54=0,"",'LGHistData-Summary'!E14/'LGHistData-HMO'!E$54)</f>
        <v/>
      </c>
      <c r="F21" s="65" t="str">
        <f>IF('LGHistData-HMO'!F$54=0,"",'LGHistData-Summary'!F14/'LGHistData-HMO'!F$54)</f>
        <v/>
      </c>
      <c r="G21" s="65" t="str">
        <f>IF('LGHistData-HMO'!G$54=0,"",'LGHistData-Summary'!G14/'LGHistData-HMO'!G$54)</f>
        <v/>
      </c>
      <c r="H21" s="65" t="str">
        <f>IF('LGHistData-HMO'!H$54=0,"",'LGHistData-Summary'!H14/'LGHistData-HMO'!H$54)</f>
        <v/>
      </c>
      <c r="I21" s="65" t="str">
        <f>IF('LGHistData-HMO'!I$54=0,"",'LGHistData-Summary'!I14/'LGHistData-HMO'!I$54)</f>
        <v/>
      </c>
    </row>
    <row r="22" spans="2:9" x14ac:dyDescent="0.35">
      <c r="B22" s="225"/>
      <c r="C22" s="226">
        <v>2.2000000000000002</v>
      </c>
      <c r="D22" s="227" t="s">
        <v>246</v>
      </c>
      <c r="E22" s="65" t="str">
        <f>IF('LGHistData-HMO'!E$54=0,"",'LGHistData-Summary'!E15/'LGHistData-HMO'!E$54)</f>
        <v/>
      </c>
      <c r="F22" s="65" t="str">
        <f>IF('LGHistData-HMO'!F$54=0,"",'LGHistData-Summary'!F15/'LGHistData-HMO'!F$54)</f>
        <v/>
      </c>
      <c r="G22" s="65" t="str">
        <f>IF('LGHistData-HMO'!G$54=0,"",'LGHistData-Summary'!G15/'LGHistData-HMO'!G$54)</f>
        <v/>
      </c>
      <c r="H22" s="65" t="str">
        <f>IF('LGHistData-HMO'!H$54=0,"",'LGHistData-Summary'!H15/'LGHistData-HMO'!H$54)</f>
        <v/>
      </c>
      <c r="I22" s="65" t="str">
        <f>IF('LGHistData-HMO'!I$54=0,"",'LGHistData-Summary'!I15/'LGHistData-HMO'!I$54)</f>
        <v/>
      </c>
    </row>
    <row r="23" spans="2:9" x14ac:dyDescent="0.35">
      <c r="B23" s="225"/>
      <c r="C23" s="226">
        <v>2.2999999999999998</v>
      </c>
      <c r="D23" s="227" t="s">
        <v>235</v>
      </c>
      <c r="E23" s="65" t="str">
        <f>IF('LGHistData-HMO'!E$54=0,"",'LGHistData-Summary'!E16/'LGHistData-HMO'!E$54)</f>
        <v/>
      </c>
      <c r="F23" s="65" t="str">
        <f>IF('LGHistData-HMO'!F$54=0,"",'LGHistData-Summary'!F16/'LGHistData-HMO'!F$54)</f>
        <v/>
      </c>
      <c r="G23" s="65" t="str">
        <f>IF('LGHistData-HMO'!G$54=0,"",'LGHistData-Summary'!G16/'LGHistData-HMO'!G$54)</f>
        <v/>
      </c>
      <c r="H23" s="65" t="str">
        <f>IF('LGHistData-HMO'!H$54=0,"",'LGHistData-Summary'!H16/'LGHistData-HMO'!H$54)</f>
        <v/>
      </c>
      <c r="I23" s="65" t="str">
        <f>IF('LGHistData-HMO'!I$54=0,"",'LGHistData-Summary'!I16/'LGHistData-HMO'!I$54)</f>
        <v/>
      </c>
    </row>
    <row r="24" spans="2:9" x14ac:dyDescent="0.35">
      <c r="B24" s="225"/>
      <c r="C24" s="226">
        <v>2.4</v>
      </c>
      <c r="D24" s="227" t="s">
        <v>247</v>
      </c>
      <c r="E24" s="65" t="str">
        <f>IF('LGHistData-HMO'!E$54=0,"",'LGHistData-Summary'!E17/'LGHistData-HMO'!E$54)</f>
        <v/>
      </c>
      <c r="F24" s="65" t="str">
        <f>IF('LGHistData-HMO'!F$54=0,"",'LGHistData-Summary'!F17/'LGHistData-HMO'!F$54)</f>
        <v/>
      </c>
      <c r="G24" s="65" t="str">
        <f>IF('LGHistData-HMO'!G$54=0,"",'LGHistData-Summary'!G17/'LGHistData-HMO'!G$54)</f>
        <v/>
      </c>
      <c r="H24" s="65" t="str">
        <f>IF('LGHistData-HMO'!H$54=0,"",'LGHistData-Summary'!H17/'LGHistData-HMO'!H$54)</f>
        <v/>
      </c>
      <c r="I24" s="65" t="str">
        <f>IF('LGHistData-HMO'!I$54=0,"",'LGHistData-Summary'!I17/'LGHistData-HMO'!I$54)</f>
        <v/>
      </c>
    </row>
    <row r="25" spans="2:9" x14ac:dyDescent="0.35">
      <c r="B25" s="225"/>
      <c r="C25" s="226">
        <v>2.5</v>
      </c>
      <c r="D25" s="227" t="s">
        <v>248</v>
      </c>
      <c r="E25" s="65" t="str">
        <f>IF('LGHistData-HMO'!E$54=0,"",'LGHistData-Summary'!E18/'LGHistData-HMO'!E$54)</f>
        <v/>
      </c>
      <c r="F25" s="66" t="str">
        <f>IF('LGHistData-HMO'!F$54=0,"",'LGHistData-Summary'!F18/'LGHistData-HMO'!F$54)</f>
        <v/>
      </c>
      <c r="G25" s="65" t="str">
        <f>IF('LGHistData-HMO'!G$54=0,"",'LGHistData-Summary'!G18/'LGHistData-HMO'!G$54)</f>
        <v/>
      </c>
      <c r="H25" s="67" t="str">
        <f>IF('LGHistData-HMO'!H$54=0,"",'LGHistData-Summary'!H18/'LGHistData-HMO'!H$54)</f>
        <v/>
      </c>
      <c r="I25" s="67" t="str">
        <f>IF('LGHistData-HMO'!I$54=0,"",'LGHistData-Summary'!I18/'LGHistData-HMO'!I$54)</f>
        <v/>
      </c>
    </row>
    <row r="26" spans="2:9" x14ac:dyDescent="0.35">
      <c r="B26" s="239"/>
      <c r="C26" s="240"/>
      <c r="D26" s="241"/>
      <c r="E26" s="15"/>
      <c r="F26" s="16"/>
      <c r="G26" s="15"/>
      <c r="H26" s="17"/>
      <c r="I26" s="24"/>
    </row>
    <row r="27" spans="2:9" x14ac:dyDescent="0.35">
      <c r="B27" s="244" t="s">
        <v>197</v>
      </c>
      <c r="C27" s="223" t="s">
        <v>250</v>
      </c>
      <c r="D27" s="237"/>
      <c r="E27" s="18"/>
      <c r="F27" s="19"/>
      <c r="G27" s="18"/>
      <c r="H27" s="20"/>
      <c r="I27" s="22"/>
    </row>
    <row r="28" spans="2:9" x14ac:dyDescent="0.35">
      <c r="B28" s="226"/>
      <c r="C28" s="226">
        <v>3.1</v>
      </c>
      <c r="D28" s="227" t="s">
        <v>245</v>
      </c>
      <c r="E28" s="234" t="s">
        <v>251</v>
      </c>
      <c r="F28" s="68" t="str">
        <f>IF(E21="","",F21/E21-1)</f>
        <v/>
      </c>
      <c r="G28" s="68" t="str">
        <f>IF(F21="","",G21/F21-1)</f>
        <v/>
      </c>
      <c r="H28" s="68" t="str">
        <f>IF(G21="","",H21/G21-1)</f>
        <v/>
      </c>
      <c r="I28" s="68" t="str">
        <f>IF(H21="","",I21/H21-1)</f>
        <v/>
      </c>
    </row>
    <row r="29" spans="2:9" x14ac:dyDescent="0.35">
      <c r="B29" s="226"/>
      <c r="C29" s="226">
        <v>3.2</v>
      </c>
      <c r="D29" s="227" t="s">
        <v>246</v>
      </c>
      <c r="E29" s="234" t="s">
        <v>251</v>
      </c>
      <c r="F29" s="68" t="str">
        <f t="shared" ref="F29:I32" si="0">IF(E22="","",F22/E22-1)</f>
        <v/>
      </c>
      <c r="G29" s="68" t="str">
        <f t="shared" si="0"/>
        <v/>
      </c>
      <c r="H29" s="68" t="str">
        <f t="shared" si="0"/>
        <v/>
      </c>
      <c r="I29" s="68" t="str">
        <f t="shared" si="0"/>
        <v/>
      </c>
    </row>
    <row r="30" spans="2:9" x14ac:dyDescent="0.35">
      <c r="B30" s="226"/>
      <c r="C30" s="226">
        <v>3.3</v>
      </c>
      <c r="D30" s="227" t="s">
        <v>235</v>
      </c>
      <c r="E30" s="234" t="s">
        <v>251</v>
      </c>
      <c r="F30" s="68" t="str">
        <f t="shared" si="0"/>
        <v/>
      </c>
      <c r="G30" s="68" t="str">
        <f t="shared" si="0"/>
        <v/>
      </c>
      <c r="H30" s="68" t="str">
        <f t="shared" si="0"/>
        <v/>
      </c>
      <c r="I30" s="68" t="str">
        <f t="shared" si="0"/>
        <v/>
      </c>
    </row>
    <row r="31" spans="2:9" x14ac:dyDescent="0.35">
      <c r="B31" s="226"/>
      <c r="C31" s="226">
        <v>3.4</v>
      </c>
      <c r="D31" s="227" t="s">
        <v>247</v>
      </c>
      <c r="E31" s="234" t="s">
        <v>251</v>
      </c>
      <c r="F31" s="68" t="str">
        <f t="shared" si="0"/>
        <v/>
      </c>
      <c r="G31" s="68" t="str">
        <f t="shared" si="0"/>
        <v/>
      </c>
      <c r="H31" s="68" t="str">
        <f t="shared" si="0"/>
        <v/>
      </c>
      <c r="I31" s="68" t="str">
        <f t="shared" si="0"/>
        <v/>
      </c>
    </row>
    <row r="32" spans="2:9" x14ac:dyDescent="0.35">
      <c r="B32" s="226"/>
      <c r="C32" s="226">
        <v>3.5</v>
      </c>
      <c r="D32" s="227" t="s">
        <v>248</v>
      </c>
      <c r="E32" s="234" t="s">
        <v>251</v>
      </c>
      <c r="F32" s="69" t="str">
        <f t="shared" si="0"/>
        <v/>
      </c>
      <c r="G32" s="68" t="str">
        <f t="shared" si="0"/>
        <v/>
      </c>
      <c r="H32" s="70" t="str">
        <f t="shared" si="0"/>
        <v/>
      </c>
      <c r="I32" s="70" t="str">
        <f t="shared" si="0"/>
        <v/>
      </c>
    </row>
    <row r="33" spans="2:9" ht="16" thickBot="1" x14ac:dyDescent="0.4">
      <c r="B33" s="235"/>
      <c r="C33" s="235"/>
      <c r="D33" s="230"/>
      <c r="E33" s="38"/>
      <c r="F33" s="39"/>
      <c r="G33" s="38"/>
      <c r="H33" s="40"/>
      <c r="I33" s="41"/>
    </row>
    <row r="35" spans="2:9" ht="16" thickBot="1" x14ac:dyDescent="0.4"/>
    <row r="36" spans="2:9" ht="16" thickBot="1" x14ac:dyDescent="0.4">
      <c r="B36" s="7" t="s">
        <v>243</v>
      </c>
      <c r="E36" s="216"/>
      <c r="F36" s="217"/>
      <c r="G36" s="217" t="s">
        <v>201</v>
      </c>
      <c r="H36" s="217"/>
      <c r="I36" s="218"/>
    </row>
    <row r="37" spans="2:9" ht="16" thickBot="1" x14ac:dyDescent="0.4">
      <c r="E37" s="219"/>
      <c r="F37" s="220"/>
      <c r="G37" s="220"/>
      <c r="H37" s="220"/>
      <c r="I37" s="221"/>
    </row>
    <row r="38" spans="2:9" ht="16" thickBot="1" x14ac:dyDescent="0.4">
      <c r="E38" s="253">
        <f>E12</f>
        <v>2020</v>
      </c>
      <c r="F38" s="253">
        <f>E38+1</f>
        <v>2021</v>
      </c>
      <c r="G38" s="254">
        <f>F38+1</f>
        <v>2022</v>
      </c>
      <c r="H38" s="253">
        <f>G38+1</f>
        <v>2023</v>
      </c>
      <c r="I38" s="255">
        <f>H38+1</f>
        <v>2024</v>
      </c>
    </row>
    <row r="39" spans="2:9" x14ac:dyDescent="0.35">
      <c r="B39" s="222" t="s">
        <v>195</v>
      </c>
      <c r="C39" s="223" t="s">
        <v>244</v>
      </c>
      <c r="D39" s="256"/>
      <c r="E39" s="18"/>
      <c r="F39" s="19"/>
      <c r="G39" s="18"/>
      <c r="H39" s="20"/>
      <c r="I39" s="20"/>
    </row>
    <row r="40" spans="2:9" x14ac:dyDescent="0.35">
      <c r="B40" s="225"/>
      <c r="C40" s="226">
        <v>1.1000000000000001</v>
      </c>
      <c r="D40" s="227" t="s">
        <v>245</v>
      </c>
      <c r="E40" s="65">
        <f>'LGHistData-PPO'!E14</f>
        <v>76978595</v>
      </c>
      <c r="F40" s="65">
        <f>'LGHistData-PPO'!F14</f>
        <v>88369693</v>
      </c>
      <c r="G40" s="65">
        <f>'LGHistData-PPO'!G14</f>
        <v>98527633</v>
      </c>
      <c r="H40" s="65">
        <f>'LGHistData-PPO'!H14</f>
        <v>99640967</v>
      </c>
      <c r="I40" s="65">
        <f>'LGHistData-PPO'!I14</f>
        <v>98173780</v>
      </c>
    </row>
    <row r="41" spans="2:9" x14ac:dyDescent="0.35">
      <c r="B41" s="225"/>
      <c r="C41" s="226">
        <v>1.2</v>
      </c>
      <c r="D41" s="227" t="s">
        <v>246</v>
      </c>
      <c r="E41" s="65">
        <f>'LGHistData-PPO'!E22</f>
        <v>66955035</v>
      </c>
      <c r="F41" s="65">
        <f>'LGHistData-PPO'!F22</f>
        <v>73675933</v>
      </c>
      <c r="G41" s="65">
        <f>'LGHistData-PPO'!G22</f>
        <v>79156280</v>
      </c>
      <c r="H41" s="65">
        <f>'LGHistData-PPO'!H22</f>
        <v>91486746</v>
      </c>
      <c r="I41" s="65">
        <f>'LGHistData-PPO'!I22</f>
        <v>109941098</v>
      </c>
    </row>
    <row r="42" spans="2:9" x14ac:dyDescent="0.35">
      <c r="B42" s="225"/>
      <c r="C42" s="226">
        <v>1.3</v>
      </c>
      <c r="D42" s="227" t="s">
        <v>235</v>
      </c>
      <c r="E42" s="65">
        <f>'LGHistData-PPO'!E50</f>
        <v>10885209.656815335</v>
      </c>
      <c r="F42" s="65">
        <f>'LGHistData-PPO'!F50</f>
        <v>13383757.477958484</v>
      </c>
      <c r="G42" s="65">
        <f>'LGHistData-PPO'!G50</f>
        <v>13966601.272318473</v>
      </c>
      <c r="H42" s="65">
        <f>'LGHistData-PPO'!H50</f>
        <v>12355912.620570829</v>
      </c>
      <c r="I42" s="65">
        <f>'LGHistData-PPO'!I50</f>
        <v>13498894.750000002</v>
      </c>
    </row>
    <row r="43" spans="2:9" x14ac:dyDescent="0.35">
      <c r="B43" s="225"/>
      <c r="C43" s="226">
        <v>1.4</v>
      </c>
      <c r="D43" s="227" t="s">
        <v>247</v>
      </c>
      <c r="E43" s="65">
        <f>'LGHistData-PPO'!E35</f>
        <v>3612528.5786808748</v>
      </c>
      <c r="F43" s="65">
        <f>'LGHistData-PPO'!F35</f>
        <v>2299068.5310361572</v>
      </c>
      <c r="G43" s="65">
        <f>'LGHistData-PPO'!G35</f>
        <v>3691424.4779119603</v>
      </c>
      <c r="H43" s="65">
        <f>'LGHistData-PPO'!H35</f>
        <v>3537289.8145169392</v>
      </c>
      <c r="I43" s="65">
        <f>'LGHistData-PPO'!I35</f>
        <v>-1147517.8280000002</v>
      </c>
    </row>
    <row r="44" spans="2:9" x14ac:dyDescent="0.35">
      <c r="B44" s="225"/>
      <c r="C44" s="226">
        <v>1.5</v>
      </c>
      <c r="D44" s="227" t="s">
        <v>248</v>
      </c>
      <c r="E44" s="65">
        <f>'LGHistData-PPO'!E44</f>
        <v>615828.88579312887</v>
      </c>
      <c r="F44" s="66">
        <f>'LGHistData-PPO'!F44</f>
        <v>706957.45943848009</v>
      </c>
      <c r="G44" s="65">
        <f>'LGHistData-PPO'!G44</f>
        <v>777593.50697235111</v>
      </c>
      <c r="H44" s="67">
        <f>'LGHistData-PPO'!H44</f>
        <v>797127.59005280933</v>
      </c>
      <c r="I44" s="67">
        <f>'LGHistData-PPO'!I44</f>
        <v>785390.24</v>
      </c>
    </row>
    <row r="45" spans="2:9" x14ac:dyDescent="0.35">
      <c r="B45" s="228"/>
      <c r="C45" s="235"/>
      <c r="D45" s="236"/>
      <c r="E45" s="15"/>
      <c r="F45" s="16"/>
      <c r="G45" s="15"/>
      <c r="H45" s="17"/>
      <c r="I45" s="17"/>
    </row>
    <row r="46" spans="2:9" x14ac:dyDescent="0.35">
      <c r="B46" s="222" t="s">
        <v>196</v>
      </c>
      <c r="C46" s="223" t="s">
        <v>249</v>
      </c>
      <c r="D46" s="237"/>
      <c r="E46" s="18"/>
      <c r="F46" s="19"/>
      <c r="G46" s="18"/>
      <c r="H46" s="20"/>
      <c r="I46" s="22"/>
    </row>
    <row r="47" spans="2:9" x14ac:dyDescent="0.35">
      <c r="B47" s="225"/>
      <c r="C47" s="226">
        <v>2.1</v>
      </c>
      <c r="D47" s="227" t="s">
        <v>245</v>
      </c>
      <c r="E47" s="65">
        <f>IF('LGHistData-PPO'!E$54=0,"",E40/'LGHistData-PPO'!E$54)</f>
        <v>275.34049775374137</v>
      </c>
      <c r="F47" s="65">
        <f>IF('LGHistData-PPO'!F$54=0,"",F40/'LGHistData-PPO'!F$54)</f>
        <v>281.03028790042265</v>
      </c>
      <c r="G47" s="65">
        <f>IF('LGHistData-PPO'!G$54=0,"",G40/'LGHistData-PPO'!G$54)</f>
        <v>299.52616090835852</v>
      </c>
      <c r="H47" s="65">
        <f>IF('LGHistData-PPO'!H$54=0,"",H40/'LGHistData-PPO'!H$54)</f>
        <v>297.36914720584946</v>
      </c>
      <c r="I47" s="65">
        <f>IF('LGHistData-PPO'!I$54=0,"",I40/'LGHistData-PPO'!I$54)</f>
        <v>306.3182691827667</v>
      </c>
    </row>
    <row r="48" spans="2:9" x14ac:dyDescent="0.35">
      <c r="B48" s="225"/>
      <c r="C48" s="226">
        <v>2.2000000000000002</v>
      </c>
      <c r="D48" s="227" t="s">
        <v>246</v>
      </c>
      <c r="E48" s="65">
        <f>IF('LGHistData-PPO'!E$54=0,"",E41/'LGHistData-PPO'!E$54)</f>
        <v>239.48777792085158</v>
      </c>
      <c r="F48" s="65">
        <f>IF('LGHistData-PPO'!F$54=0,"",F41/'LGHistData-PPO'!F$54)</f>
        <v>234.30169280233042</v>
      </c>
      <c r="G48" s="65">
        <f>IF('LGHistData-PPO'!G$54=0,"",G41/'LGHistData-PPO'!G$54)</f>
        <v>240.63682378513124</v>
      </c>
      <c r="H48" s="65">
        <f>IF('LGHistData-PPO'!H$54=0,"",H41/'LGHistData-PPO'!H$54)</f>
        <v>273.03363724539281</v>
      </c>
      <c r="I48" s="65">
        <f>IF('LGHistData-PPO'!I$54=0,"",I41/'LGHistData-PPO'!I$54)</f>
        <v>343.03422819629571</v>
      </c>
    </row>
    <row r="49" spans="2:9" x14ac:dyDescent="0.35">
      <c r="B49" s="225"/>
      <c r="C49" s="226">
        <v>2.2999999999999998</v>
      </c>
      <c r="D49" s="227" t="s">
        <v>235</v>
      </c>
      <c r="E49" s="65">
        <f>IF('LGHistData-PPO'!E$54=0,"",E42/'LGHistData-PPO'!E$54)</f>
        <v>38.934707045008636</v>
      </c>
      <c r="F49" s="65">
        <f>IF('LGHistData-PPO'!F$54=0,"",F42/'LGHistData-PPO'!F$54)</f>
        <v>42.562569694794654</v>
      </c>
      <c r="G49" s="65">
        <f>IF('LGHistData-PPO'!G$54=0,"",G42/'LGHistData-PPO'!G$54)</f>
        <v>42.458773571017872</v>
      </c>
      <c r="H49" s="65">
        <f>IF('LGHistData-PPO'!H$54=0,"",H42/'LGHistData-PPO'!H$54)</f>
        <v>36.875065643724028</v>
      </c>
      <c r="I49" s="65">
        <f>IF('LGHistData-PPO'!I$54=0,"",I42/'LGHistData-PPO'!I$54)</f>
        <v>42.118762012630427</v>
      </c>
    </row>
    <row r="50" spans="2:9" x14ac:dyDescent="0.35">
      <c r="B50" s="225"/>
      <c r="C50" s="226">
        <v>2.4</v>
      </c>
      <c r="D50" s="227" t="s">
        <v>247</v>
      </c>
      <c r="E50" s="65">
        <f>IF('LGHistData-PPO'!E$54=0,"",E43/'LGHistData-PPO'!E$54)</f>
        <v>12.921454555043619</v>
      </c>
      <c r="F50" s="65">
        <f>IF('LGHistData-PPO'!F$54=0,"",F43/'LGHistData-PPO'!F$54)</f>
        <v>7.3114194385612841</v>
      </c>
      <c r="G50" s="65">
        <f>IF('LGHistData-PPO'!G$54=0,"",G43/'LGHistData-PPO'!G$54)</f>
        <v>11.222011211333081</v>
      </c>
      <c r="H50" s="65">
        <f>IF('LGHistData-PPO'!H$54=0,"",H43/'LGHistData-PPO'!H$54)</f>
        <v>10.556710630506421</v>
      </c>
      <c r="I50" s="65">
        <f>IF('LGHistData-PPO'!I$54=0,"",I43/'LGHistData-PPO'!I$54)</f>
        <v>-3.5804435250361943</v>
      </c>
    </row>
    <row r="51" spans="2:9" x14ac:dyDescent="0.35">
      <c r="B51" s="225"/>
      <c r="C51" s="226">
        <v>2.5</v>
      </c>
      <c r="D51" s="227" t="s">
        <v>248</v>
      </c>
      <c r="E51" s="65">
        <f>IF('LGHistData-PPO'!E$54=0,"",E44/'LGHistData-PPO'!E$54)</f>
        <v>2.2027244319724471</v>
      </c>
      <c r="F51" s="66">
        <f>IF('LGHistData-PPO'!F$54=0,"",F44/'LGHistData-PPO'!F$54)</f>
        <v>2.2482420342837157</v>
      </c>
      <c r="G51" s="65">
        <f>IF('LGHistData-PPO'!G$54=0,"",G44/'LGHistData-PPO'!G$54)</f>
        <v>2.3639012812851727</v>
      </c>
      <c r="H51" s="67">
        <f>IF('LGHistData-PPO'!H$54=0,"",H44/'LGHistData-PPO'!H$54)</f>
        <v>2.3789527420810543</v>
      </c>
      <c r="I51" s="67">
        <f>IF('LGHistData-PPO'!I$54=0,"",I44/'LGHistData-PPO'!I$54)</f>
        <v>2.4505461534621338</v>
      </c>
    </row>
    <row r="52" spans="2:9" x14ac:dyDescent="0.35">
      <c r="B52" s="239"/>
      <c r="C52" s="240"/>
      <c r="D52" s="241"/>
      <c r="E52" s="15"/>
      <c r="F52" s="16"/>
      <c r="G52" s="15"/>
      <c r="H52" s="17"/>
      <c r="I52" s="24"/>
    </row>
    <row r="53" spans="2:9" x14ac:dyDescent="0.35">
      <c r="B53" s="244" t="s">
        <v>197</v>
      </c>
      <c r="C53" s="223" t="s">
        <v>250</v>
      </c>
      <c r="D53" s="237"/>
      <c r="E53" s="18"/>
      <c r="F53" s="19"/>
      <c r="G53" s="18"/>
      <c r="H53" s="20"/>
      <c r="I53" s="22"/>
    </row>
    <row r="54" spans="2:9" x14ac:dyDescent="0.35">
      <c r="B54" s="226"/>
      <c r="C54" s="226">
        <v>3.1</v>
      </c>
      <c r="D54" s="227" t="s">
        <v>245</v>
      </c>
      <c r="E54" s="234" t="s">
        <v>251</v>
      </c>
      <c r="F54" s="68">
        <f>IF(E47="","",F47/E47-1)</f>
        <v>2.0664559674654637E-2</v>
      </c>
      <c r="G54" s="68">
        <f>IF(F47="","",G47/F47-1)</f>
        <v>6.5814518236160691E-2</v>
      </c>
      <c r="H54" s="68">
        <f>IF(G47="","",H47/G47-1)</f>
        <v>-7.2014200561566488E-3</v>
      </c>
      <c r="I54" s="68">
        <f>IF(H47="","",I47/H47-1)</f>
        <v>3.0094319000492531E-2</v>
      </c>
    </row>
    <row r="55" spans="2:9" x14ac:dyDescent="0.35">
      <c r="B55" s="226"/>
      <c r="C55" s="226">
        <v>3.2</v>
      </c>
      <c r="D55" s="227" t="s">
        <v>246</v>
      </c>
      <c r="E55" s="234" t="s">
        <v>251</v>
      </c>
      <c r="F55" s="68">
        <f t="shared" ref="F55:I58" si="1">IF(E48="","",F48/E48-1)</f>
        <v>-2.1654905162780902E-2</v>
      </c>
      <c r="G55" s="68">
        <f t="shared" si="1"/>
        <v>2.7038349177210153E-2</v>
      </c>
      <c r="H55" s="68">
        <f t="shared" si="1"/>
        <v>0.1346294924886029</v>
      </c>
      <c r="I55" s="68">
        <f t="shared" si="1"/>
        <v>0.25638083152365909</v>
      </c>
    </row>
    <row r="56" spans="2:9" x14ac:dyDescent="0.35">
      <c r="B56" s="226"/>
      <c r="C56" s="226">
        <v>3.3</v>
      </c>
      <c r="D56" s="227" t="s">
        <v>235</v>
      </c>
      <c r="E56" s="234" t="s">
        <v>251</v>
      </c>
      <c r="F56" s="68">
        <f t="shared" si="1"/>
        <v>9.3178116008223677E-2</v>
      </c>
      <c r="G56" s="68">
        <f t="shared" si="1"/>
        <v>-2.4386714552498967E-3</v>
      </c>
      <c r="H56" s="68">
        <f t="shared" si="1"/>
        <v>-0.13150893108003603</v>
      </c>
      <c r="I56" s="68">
        <f t="shared" si="1"/>
        <v>0.14220168228497387</v>
      </c>
    </row>
    <row r="57" spans="2:9" x14ac:dyDescent="0.35">
      <c r="B57" s="226"/>
      <c r="C57" s="226">
        <v>3.4</v>
      </c>
      <c r="D57" s="227" t="s">
        <v>247</v>
      </c>
      <c r="E57" s="234" t="s">
        <v>251</v>
      </c>
      <c r="F57" s="68">
        <f>IF(E50="","",F50/E50-1)</f>
        <v>-0.43416436536493297</v>
      </c>
      <c r="G57" s="68">
        <f t="shared" si="1"/>
        <v>0.53486081678570874</v>
      </c>
      <c r="H57" s="68">
        <f t="shared" si="1"/>
        <v>-5.9285324911703352E-2</v>
      </c>
      <c r="I57" s="68">
        <f t="shared" si="1"/>
        <v>-1.3391627989394301</v>
      </c>
    </row>
    <row r="58" spans="2:9" x14ac:dyDescent="0.35">
      <c r="B58" s="226"/>
      <c r="C58" s="226">
        <v>3.5</v>
      </c>
      <c r="D58" s="227" t="s">
        <v>248</v>
      </c>
      <c r="E58" s="234" t="s">
        <v>251</v>
      </c>
      <c r="F58" s="69">
        <f>IF(E51="","",F51/E51-1)</f>
        <v>2.0664229102189458E-2</v>
      </c>
      <c r="G58" s="68">
        <f t="shared" si="1"/>
        <v>5.1444304144195874E-2</v>
      </c>
      <c r="H58" s="70">
        <f t="shared" si="1"/>
        <v>6.3672120807425348E-3</v>
      </c>
      <c r="I58" s="70">
        <f t="shared" si="1"/>
        <v>3.0094507601883258E-2</v>
      </c>
    </row>
    <row r="59" spans="2:9" ht="16" thickBot="1" x14ac:dyDescent="0.4">
      <c r="B59" s="235"/>
      <c r="C59" s="235"/>
      <c r="D59" s="230"/>
      <c r="E59" s="38"/>
      <c r="F59" s="39"/>
      <c r="G59" s="38"/>
      <c r="H59" s="40"/>
      <c r="I59" s="41"/>
    </row>
  </sheetData>
  <sheetProtection algorithmName="SHA-512" hashValue="y+/pqfTUUWT8Xb8EB0DrK3qBxCZ03TEEUSyfFkccPuMHkg4AcDeztoef/uYmtPYLYk73/2Mu+edSWGsBX99T5w==" saltValue="bS/gjqnDqIwNRaIrMrZKDw==" spinCount="100000" sheet="1" objects="1" scenarios="1"/>
  <conditionalFormatting sqref="E14:I18">
    <cfRule type="cellIs" dxfId="5" priority="6" stopIfTrue="1" operator="lessThan">
      <formula>0</formula>
    </cfRule>
  </conditionalFormatting>
  <conditionalFormatting sqref="E21:I25">
    <cfRule type="cellIs" dxfId="4" priority="5" stopIfTrue="1" operator="lessThan">
      <formula>0</formula>
    </cfRule>
  </conditionalFormatting>
  <conditionalFormatting sqref="E28:I32">
    <cfRule type="cellIs" dxfId="3" priority="4" stopIfTrue="1" operator="lessThan">
      <formula>0</formula>
    </cfRule>
  </conditionalFormatting>
  <conditionalFormatting sqref="E40:I44">
    <cfRule type="cellIs" dxfId="2" priority="3" stopIfTrue="1" operator="lessThan">
      <formula>0</formula>
    </cfRule>
  </conditionalFormatting>
  <conditionalFormatting sqref="E47:I51">
    <cfRule type="cellIs" dxfId="1" priority="2" stopIfTrue="1" operator="lessThan">
      <formula>0</formula>
    </cfRule>
  </conditionalFormatting>
  <conditionalFormatting sqref="E54:I58">
    <cfRule type="cellIs" dxfId="0"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8BFD-ADB7-4684-B5F1-E107CF68EBB4}">
  <sheetPr>
    <tabColor rgb="FF00FFFF"/>
  </sheetPr>
  <dimension ref="A1:A19"/>
  <sheetViews>
    <sheetView showGridLines="0" workbookViewId="0">
      <selection activeCell="A19" sqref="A19"/>
    </sheetView>
  </sheetViews>
  <sheetFormatPr defaultRowHeight="15.5" x14ac:dyDescent="0.35"/>
  <sheetData>
    <row r="1" spans="1:1" x14ac:dyDescent="0.35">
      <c r="A1" t="s">
        <v>460</v>
      </c>
    </row>
    <row r="3" spans="1:1" x14ac:dyDescent="0.35">
      <c r="A3" s="43" t="s">
        <v>367</v>
      </c>
    </row>
    <row r="4" spans="1:1" x14ac:dyDescent="0.35">
      <c r="A4" s="43" t="s">
        <v>367</v>
      </c>
    </row>
    <row r="5" spans="1:1" x14ac:dyDescent="0.35">
      <c r="A5" s="43" t="s">
        <v>367</v>
      </c>
    </row>
    <row r="6" spans="1:1" x14ac:dyDescent="0.35">
      <c r="A6" s="43" t="s">
        <v>367</v>
      </c>
    </row>
    <row r="7" spans="1:1" x14ac:dyDescent="0.35">
      <c r="A7" s="43" t="s">
        <v>368</v>
      </c>
    </row>
    <row r="8" spans="1:1" x14ac:dyDescent="0.35">
      <c r="A8" s="43" t="s">
        <v>369</v>
      </c>
    </row>
    <row r="9" spans="1:1" x14ac:dyDescent="0.35">
      <c r="A9" s="43" t="s">
        <v>370</v>
      </c>
    </row>
    <row r="10" spans="1:1" x14ac:dyDescent="0.35">
      <c r="A10" s="43" t="s">
        <v>370</v>
      </c>
    </row>
    <row r="11" spans="1:1" x14ac:dyDescent="0.35">
      <c r="A11" s="43" t="s">
        <v>371</v>
      </c>
    </row>
    <row r="12" spans="1:1" x14ac:dyDescent="0.35">
      <c r="A12" s="92" t="s">
        <v>513</v>
      </c>
    </row>
    <row r="13" spans="1:1" x14ac:dyDescent="0.35">
      <c r="A13" s="92" t="s">
        <v>514</v>
      </c>
    </row>
    <row r="14" spans="1:1" x14ac:dyDescent="0.35">
      <c r="A14" s="43" t="s">
        <v>372</v>
      </c>
    </row>
    <row r="15" spans="1:1" x14ac:dyDescent="0.35">
      <c r="A15" s="43" t="s">
        <v>373</v>
      </c>
    </row>
    <row r="16" spans="1:1" x14ac:dyDescent="0.35">
      <c r="A16" s="42" t="s">
        <v>374</v>
      </c>
    </row>
    <row r="17" spans="1:1" x14ac:dyDescent="0.35">
      <c r="A17" s="43" t="s">
        <v>375</v>
      </c>
    </row>
    <row r="18" spans="1:1" x14ac:dyDescent="0.35">
      <c r="A18" s="45" t="s">
        <v>376</v>
      </c>
    </row>
    <row r="19" spans="1:1" x14ac:dyDescent="0.35">
      <c r="A19" s="4" t="s">
        <v>427</v>
      </c>
    </row>
  </sheetData>
  <hyperlinks>
    <hyperlink ref="A7" location="'LGARD-#7-ProductsSold'!A9" display="LGARD-#7-ProductsSold" xr:uid="{D5FBA78C-6E66-456F-95E8-46ED0470960F}"/>
    <hyperlink ref="A8" location="'LGARD-#8-BaseRateFactors'!A9" display="LGARD-#8-BaseRateFactors" xr:uid="{66E25942-7DCA-4396-BAB6-A0B811F7D0E1}"/>
    <hyperlink ref="A11" location="'LGARD-#11-HistData'!A9" display="LGARD-#11-HistData" xr:uid="{CFA0639C-C76F-4598-9A80-0C6C47536D84}"/>
    <hyperlink ref="A12" location="'LGARD-#12a-EECostSharing'!A1" display="LGARD-#12a-EECostSharing" xr:uid="{7F169A10-87ED-4FFE-8D44-48F69AC50A45}"/>
    <hyperlink ref="A14" location="'LGARD-#13-EEBenefitChanges'!A9" display="LGARD-#13-EEBenefits" xr:uid="{5E0BA28E-9143-4FF3-B9D6-4EB1A7104725}"/>
    <hyperlink ref="A15" location="'LGARD-#14-CCQIEfforts'!A9" display="LGARD-#14-CCQIEfforts" xr:uid="{927F635C-96FE-4A08-8EC4-02E78AB93032}"/>
    <hyperlink ref="A16" location="'LGARD-#15-ExciseTaxes'!A9" display="LGARD-#15-ExciseTaxes" xr:uid="{53C3EA4C-EA9D-487D-AA84-13B3AB14FC6B}"/>
    <hyperlink ref="A17" location="'LGARD-#16-LGRxReport'!A9" display="LGARD-#16-LGRxReport" xr:uid="{01EA56BC-6F6B-4EE4-9B5D-2515B4009C52}"/>
    <hyperlink ref="A18" location="'LGARD-#17-OtherComments'!A9" display="LGARD-#17-OtherComments" xr:uid="{E81AB13D-6CC0-42C0-90F7-006428ABF679}"/>
    <hyperlink ref="A9" location="'LGARD-#9-#10-TrendFactors'!A9" display="LGARD-#9-#10-TrendFactors" xr:uid="{439FDA7E-CB4E-422D-91C8-BC6F49EC2A25}"/>
    <hyperlink ref="A4:A6" location="'LGARD -#7 - Products Sold'!A9" display="LGARD-#7 Products Sold" xr:uid="{975DD77D-FB73-4B94-BCFC-02C0D15EE4F9}"/>
    <hyperlink ref="A10" location="'LGARD-#9-#10-TrendFactors'!A38" display="LGARD-#9-#10-TrendFactors" xr:uid="{BAADC6AA-2CE1-48CA-BFA2-7EE080AE1595}"/>
    <hyperlink ref="A4" location="'LGARD-#3-#6 RateChanges'!A28" display="LGARD-#3-#6-RateChanges" xr:uid="{91DDA34E-7570-4F11-81F9-297FB1BBF269}"/>
    <hyperlink ref="A3" location="'LGARD-#3-#6 RateChanges'!A9" display="LGARD-#3-#6-RateChanges" xr:uid="{64CB2786-775D-49D2-82BF-E866C70C2310}"/>
    <hyperlink ref="A5" location="'LGARD-#3-#6 RateChanges'!A68" display="LGARD-#3-#6-RateChanges" xr:uid="{522CC6E3-08E7-4EAD-B4A0-B075FCF69ED2}"/>
    <hyperlink ref="A6" location="'LGARD-#3-#6 RateChanges'!A93" display="LGARD-#3-#6-RateChanges" xr:uid="{F06D626E-6B41-4F8B-A796-28430F0B22D6}"/>
    <hyperlink ref="A19" location="'LGARD-#18-AdditionalInfo'!A1" display="LGARD-#18-AdditionalInfo" xr:uid="{A13A12B0-01C0-441B-902F-6E9DC6B12BB1}"/>
    <hyperlink ref="A13" location="'LGARD-#12b-EECostSharing'!A1" display="LGARD-#12b-EECostSharing" xr:uid="{A8A4DB2E-9CF2-4688-8DE8-15C7E7EAFBD7}"/>
  </hyperlinks>
  <printOptions horizontalCentered="1"/>
  <pageMargins left="0.7" right="0.7" top="0.75" bottom="0.75" header="0.3" footer="0.3"/>
  <pageSetup scale="65" orientation="landscape" r:id="rId1"/>
  <headerFooter>
    <oddFooter>&amp;L&amp;A
Version Date: June 2, 2025</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A487B-CD70-415A-BDF1-061D693C3BBB}">
  <sheetPr>
    <tabColor rgb="FF7030A0"/>
  </sheetPr>
  <dimension ref="A1:A9"/>
  <sheetViews>
    <sheetView showGridLines="0" workbookViewId="0"/>
  </sheetViews>
  <sheetFormatPr defaultRowHeight="15.5" x14ac:dyDescent="0.35"/>
  <cols>
    <col min="1" max="1" width="23.3046875" customWidth="1"/>
  </cols>
  <sheetData>
    <row r="1" spans="1:1" x14ac:dyDescent="0.35">
      <c r="A1" t="s">
        <v>396</v>
      </c>
    </row>
    <row r="3" spans="1:1" x14ac:dyDescent="0.35">
      <c r="A3" s="43" t="s">
        <v>380</v>
      </c>
    </row>
    <row r="4" spans="1:1" x14ac:dyDescent="0.35">
      <c r="A4" s="63" t="s">
        <v>381</v>
      </c>
    </row>
    <row r="5" spans="1:1" x14ac:dyDescent="0.35">
      <c r="A5" s="92" t="s">
        <v>382</v>
      </c>
    </row>
    <row r="6" spans="1:1" x14ac:dyDescent="0.35">
      <c r="A6" s="43" t="s">
        <v>383</v>
      </c>
    </row>
    <row r="7" spans="1:1" x14ac:dyDescent="0.35">
      <c r="A7" s="43" t="s">
        <v>384</v>
      </c>
    </row>
    <row r="8" spans="1:1" x14ac:dyDescent="0.35">
      <c r="A8" s="62" t="s">
        <v>385</v>
      </c>
    </row>
    <row r="9" spans="1:1" x14ac:dyDescent="0.35">
      <c r="A9" s="45" t="s">
        <v>392</v>
      </c>
    </row>
  </sheetData>
  <hyperlinks>
    <hyperlink ref="A3" location="'LGPDCD-PharmPctPrem'!A1" display="LGPDCD-PharmPctPrem" xr:uid="{62ED7AA0-6B62-4BCD-91C6-AC9C037F8B4F}"/>
    <hyperlink ref="A5" location="'LGPDCD-YoYcompofPrem'!A1" display="LGPDCD-YoYCompofPrem" xr:uid="{1C3CD7F1-323F-41EF-8253-5E220C50BEDD}"/>
    <hyperlink ref="A6" location="'LGPDCD-SpecTierForm'!A1" display="LGPDCD-SpecTierForm" xr:uid="{829C0BE5-CC5A-46FA-AE21-72038EAB0ED4}"/>
    <hyperlink ref="A7" location="'LGPDCD-PharmDocOff'!A1" display="LGPDCD-PharmDocOff" xr:uid="{DF9E4EBE-1C7E-4311-9E56-023DD0BA6BBA}"/>
    <hyperlink ref="A9" location="'LGPDCD-RxGlossary'!A1" display="LGPDCD-RxGlossary" xr:uid="{1052E3CB-F5E2-4BA7-AE42-4AEBCBB3CA2F}"/>
    <hyperlink ref="A8" location="'LGPDCD-PharmBenMgr'!A1" display="LGPDCD-PharmBenMgr" xr:uid="{E46F2AD7-E331-47EF-A6C0-44A62BCF6227}"/>
    <hyperlink ref="A4" location="'LGPDCD-YoYTotalPlanSpnd'!A1" display="LGPDCD-YoYTotalPlanSpnd" xr:uid="{41E18E6C-8DC5-4DB9-9178-1DC1062AD801}"/>
  </hyperlinks>
  <pageMargins left="0.7" right="0.7" top="0.75" bottom="0.75" header="0.3" footer="0.3"/>
  <pageSetup orientation="portrait" r:id="rId1"/>
  <headerFooter>
    <oddFooter>&amp;L&amp;A
Version Date: June 2, 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E9FD-0F7D-4332-AE46-16FFABB6DD8A}">
  <sheetPr>
    <tabColor theme="0"/>
    <pageSetUpPr fitToPage="1"/>
  </sheetPr>
  <dimension ref="A1:C24"/>
  <sheetViews>
    <sheetView showGridLines="0" topLeftCell="A13" zoomScale="85" zoomScaleNormal="85" zoomScaleSheetLayoutView="85" zoomScalePageLayoutView="90" workbookViewId="0">
      <selection activeCell="B15" sqref="B15"/>
    </sheetView>
  </sheetViews>
  <sheetFormatPr defaultColWidth="42.84375" defaultRowHeight="15.5" x14ac:dyDescent="0.35"/>
  <cols>
    <col min="1" max="1" width="53.07421875" style="258" customWidth="1"/>
    <col min="2" max="2" width="25.07421875" style="258" customWidth="1"/>
    <col min="3" max="3" width="31.84375" style="258" customWidth="1"/>
    <col min="4" max="16384" width="42.84375" style="258"/>
  </cols>
  <sheetData>
    <row r="1" spans="1:3" ht="16.5" customHeight="1" x14ac:dyDescent="0.35">
      <c r="A1" s="257" t="s">
        <v>60</v>
      </c>
      <c r="B1" s="259"/>
      <c r="C1" s="86"/>
    </row>
    <row r="2" spans="1:3" ht="16.5" customHeight="1" x14ac:dyDescent="0.35">
      <c r="A2" s="257" t="s">
        <v>258</v>
      </c>
      <c r="B2" s="259"/>
      <c r="C2" s="86"/>
    </row>
    <row r="3" spans="1:3" ht="16.5" customHeight="1" x14ac:dyDescent="0.35">
      <c r="A3" s="257" t="s">
        <v>310</v>
      </c>
      <c r="B3" s="259"/>
      <c r="C3" s="86"/>
    </row>
    <row r="4" spans="1:3" ht="16.5" customHeight="1" x14ac:dyDescent="0.35">
      <c r="A4" s="260" t="s">
        <v>259</v>
      </c>
      <c r="B4" s="261"/>
      <c r="C4" s="262"/>
    </row>
    <row r="5" spans="1:3" ht="16.5" customHeight="1" x14ac:dyDescent="0.35">
      <c r="A5" s="260" t="s">
        <v>260</v>
      </c>
      <c r="B5" s="261"/>
      <c r="C5" s="262"/>
    </row>
    <row r="6" spans="1:3" ht="16.5" customHeight="1" x14ac:dyDescent="0.35">
      <c r="A6" s="263"/>
      <c r="B6" s="263"/>
      <c r="C6" s="263"/>
    </row>
    <row r="7" spans="1:3" ht="16.5" customHeight="1" x14ac:dyDescent="0.35">
      <c r="A7" s="277" t="str">
        <f>'Cover-Input Page '!B7&amp;": "&amp;'Cover-Input Page '!C7</f>
        <v>Company Name (Health Plan): Wellfleet Insurance Company</v>
      </c>
      <c r="B7" s="264"/>
      <c r="C7" s="264"/>
    </row>
    <row r="8" spans="1:3" ht="16.5" customHeight="1" x14ac:dyDescent="0.35">
      <c r="A8" s="277" t="str">
        <f>"Reporting Year: "&amp;'Cover-Input Page '!$C$5</f>
        <v>Reporting Year: 2025</v>
      </c>
      <c r="B8" s="264"/>
      <c r="C8" s="264"/>
    </row>
    <row r="9" spans="1:3" ht="16.5" customHeight="1" x14ac:dyDescent="0.35">
      <c r="A9" s="264"/>
      <c r="B9" s="259"/>
      <c r="C9" s="259"/>
    </row>
    <row r="10" spans="1:3" x14ac:dyDescent="0.35">
      <c r="A10" s="265" t="s">
        <v>261</v>
      </c>
      <c r="B10" s="266"/>
      <c r="C10" s="267"/>
    </row>
    <row r="11" spans="1:3" ht="49.5" customHeight="1" x14ac:dyDescent="0.35">
      <c r="A11" s="268" t="s">
        <v>262</v>
      </c>
      <c r="B11" s="278" t="str">
        <f>'Cover-Input Page '!$C$5&amp;" Total Paid Dollar Amount (PMPM)"</f>
        <v>2025 Total Paid Dollar Amount (PMPM)</v>
      </c>
      <c r="C11" s="269" t="s">
        <v>263</v>
      </c>
    </row>
    <row r="12" spans="1:3" ht="45" customHeight="1" x14ac:dyDescent="0.35">
      <c r="A12" s="270" t="s">
        <v>363</v>
      </c>
      <c r="B12" s="54">
        <f>26244686.94*17.7%/297376</f>
        <v>15.620996947904334</v>
      </c>
      <c r="C12" s="279">
        <f>B12/B19</f>
        <v>4.6981198380054642E-2</v>
      </c>
    </row>
    <row r="13" spans="1:3" ht="45.75" customHeight="1" x14ac:dyDescent="0.35">
      <c r="A13" s="270" t="s">
        <v>364</v>
      </c>
      <c r="B13" s="54">
        <f>26244686.94*5.3%/297376</f>
        <v>4.6774736623668351</v>
      </c>
      <c r="C13" s="279">
        <f>B13/B19</f>
        <v>1.406781646408416E-2</v>
      </c>
    </row>
    <row r="14" spans="1:3" ht="45" customHeight="1" x14ac:dyDescent="0.35">
      <c r="A14" s="270" t="s">
        <v>365</v>
      </c>
      <c r="B14" s="54">
        <f>26244686.94*77%/297376</f>
        <v>67.955749434386107</v>
      </c>
      <c r="C14" s="279">
        <f>B14/B19</f>
        <v>0.20438148447820387</v>
      </c>
    </row>
    <row r="15" spans="1:3" ht="45" customHeight="1" x14ac:dyDescent="0.35">
      <c r="A15" s="270" t="s">
        <v>264</v>
      </c>
      <c r="B15" s="280">
        <f>SUM(B12:B14)</f>
        <v>88.254220044657274</v>
      </c>
      <c r="C15" s="279">
        <f>B15/B19</f>
        <v>0.26543049932234264</v>
      </c>
    </row>
    <row r="16" spans="1:3" ht="45" customHeight="1" x14ac:dyDescent="0.35">
      <c r="A16" s="271" t="s">
        <v>265</v>
      </c>
      <c r="B16" s="280">
        <f>'LGPDCD-YoYTotalPlanSpnd'!B16</f>
        <v>-6.898025126439256</v>
      </c>
      <c r="C16" s="279">
        <f>B16/B19</f>
        <v>-2.0746274259999867E-2</v>
      </c>
    </row>
    <row r="17" spans="1:3" ht="30" customHeight="1" x14ac:dyDescent="0.35">
      <c r="A17" s="272"/>
      <c r="B17" s="273"/>
      <c r="C17" s="274"/>
    </row>
    <row r="18" spans="1:3" ht="23.25" customHeight="1" x14ac:dyDescent="0.35">
      <c r="A18" s="275"/>
      <c r="B18" s="281">
        <f>'Cover-Input Page '!$C$5</f>
        <v>2025</v>
      </c>
      <c r="C18" s="276"/>
    </row>
    <row r="19" spans="1:3" ht="45" customHeight="1" x14ac:dyDescent="0.35">
      <c r="A19" s="270" t="s">
        <v>266</v>
      </c>
      <c r="B19" s="280">
        <f>'LGPDCD-YoYTotalPlanSpnd'!B19</f>
        <v>332.49464650812439</v>
      </c>
      <c r="C19" s="276"/>
    </row>
    <row r="20" spans="1:3" ht="15" customHeight="1" x14ac:dyDescent="0.35"/>
    <row r="21" spans="1:3" ht="17.25" customHeight="1" x14ac:dyDescent="0.35"/>
    <row r="22" spans="1:3" ht="30" customHeight="1" x14ac:dyDescent="0.35">
      <c r="A22" s="272"/>
      <c r="B22" s="272"/>
      <c r="C22" s="272"/>
    </row>
    <row r="23" spans="1:3" ht="30" customHeight="1" x14ac:dyDescent="0.35"/>
    <row r="24" spans="1:3" ht="30" customHeight="1" x14ac:dyDescent="0.35"/>
  </sheetData>
  <sheetProtection algorithmName="SHA-512" hashValue="e+qmXTTe+QcCQuCv1+EGYUPynw42bFYlDpyeyaNIH5kcdmVPqtb8yCn6teYyWhItjrKuWi2clqESjO46w3Op3A==" saltValue="WBfxRvQnRHFx0BVDUBFZCw==" spinCount="100000" sheet="1" objects="1" scenarios="1"/>
  <printOptions horizontalCentered="1"/>
  <pageMargins left="0.7" right="0.7" top="0.75" bottom="0.75" header="0.3" footer="0.3"/>
  <pageSetup scale="84" orientation="landscape" r:id="rId1"/>
  <headerFooter>
    <oddFooter>&amp;L&amp;A
Version Date: June 2, 2025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C0528-B85C-4D36-848D-E422F30497AA}">
  <sheetPr>
    <tabColor theme="0"/>
    <pageSetUpPr fitToPage="1"/>
  </sheetPr>
  <dimension ref="A1:D24"/>
  <sheetViews>
    <sheetView showGridLines="0" topLeftCell="A11" zoomScaleNormal="100" zoomScaleSheetLayoutView="115" zoomScalePageLayoutView="85" workbookViewId="0">
      <selection activeCell="B14" sqref="B14"/>
    </sheetView>
  </sheetViews>
  <sheetFormatPr defaultColWidth="7.84375" defaultRowHeight="15.5" x14ac:dyDescent="0.35"/>
  <cols>
    <col min="1" max="1" width="54.84375" style="258" customWidth="1"/>
    <col min="2" max="2" width="21.07421875" style="258" customWidth="1"/>
    <col min="3" max="3" width="22" style="258" customWidth="1"/>
    <col min="4" max="4" width="22.07421875" style="258" customWidth="1"/>
    <col min="5" max="16384" width="7.84375" style="258"/>
  </cols>
  <sheetData>
    <row r="1" spans="1:4" ht="17.25" customHeight="1" x14ac:dyDescent="0.35">
      <c r="A1" s="257" t="s">
        <v>60</v>
      </c>
      <c r="B1" s="259"/>
      <c r="C1" s="86"/>
      <c r="D1" s="86"/>
    </row>
    <row r="2" spans="1:4" ht="18" customHeight="1" x14ac:dyDescent="0.35">
      <c r="A2" s="257" t="s">
        <v>258</v>
      </c>
      <c r="B2" s="259"/>
      <c r="C2" s="86"/>
      <c r="D2" s="86"/>
    </row>
    <row r="3" spans="1:4" ht="18" customHeight="1" x14ac:dyDescent="0.35">
      <c r="A3" s="257" t="s">
        <v>310</v>
      </c>
      <c r="B3" s="259"/>
      <c r="C3" s="86"/>
      <c r="D3" s="86"/>
    </row>
    <row r="4" spans="1:4" ht="18" customHeight="1" x14ac:dyDescent="0.35">
      <c r="A4" s="262" t="s">
        <v>267</v>
      </c>
      <c r="B4" s="261"/>
      <c r="C4" s="282"/>
      <c r="D4" s="282"/>
    </row>
    <row r="5" spans="1:4" ht="18" customHeight="1" x14ac:dyDescent="0.35">
      <c r="A5" s="262" t="s">
        <v>268</v>
      </c>
      <c r="B5" s="261"/>
      <c r="C5" s="282"/>
      <c r="D5" s="282"/>
    </row>
    <row r="6" spans="1:4" ht="16.5" customHeight="1" x14ac:dyDescent="0.35">
      <c r="A6" s="263"/>
      <c r="B6" s="263"/>
      <c r="C6" s="263"/>
      <c r="D6" s="263"/>
    </row>
    <row r="7" spans="1:4" ht="16.5" customHeight="1" x14ac:dyDescent="0.35">
      <c r="A7" s="277" t="str">
        <f>'Cover-Input Page '!B7&amp;": "&amp;'Cover-Input Page '!C7</f>
        <v>Company Name (Health Plan): Wellfleet Insurance Company</v>
      </c>
      <c r="B7" s="275"/>
      <c r="C7" s="259"/>
      <c r="D7" s="259"/>
    </row>
    <row r="8" spans="1:4" ht="16.5" customHeight="1" x14ac:dyDescent="0.35">
      <c r="A8" s="277" t="str">
        <f>"Reporting Year: "&amp;'Cover-Input Page '!$C$5</f>
        <v>Reporting Year: 2025</v>
      </c>
      <c r="B8" s="283"/>
      <c r="C8" s="259"/>
      <c r="D8" s="259"/>
    </row>
    <row r="9" spans="1:4" ht="16.5" customHeight="1" x14ac:dyDescent="0.35">
      <c r="A9" s="264"/>
      <c r="B9" s="283"/>
      <c r="C9" s="259"/>
      <c r="D9" s="259"/>
    </row>
    <row r="10" spans="1:4" x14ac:dyDescent="0.35">
      <c r="A10" s="289" t="str">
        <f>'LGPDCD-PharmPctPrem'!A10:C10</f>
        <v>Includes Plan Pharmacy, Network Pharmacy, and Mail Order Pharmacy for Outpatient Use</v>
      </c>
      <c r="B10" s="284"/>
      <c r="C10" s="284"/>
      <c r="D10" s="284"/>
    </row>
    <row r="11" spans="1:4" ht="87.75" customHeight="1" x14ac:dyDescent="0.35">
      <c r="A11" s="268" t="s">
        <v>262</v>
      </c>
      <c r="B11" s="278" t="str">
        <f>'Cover-Input Page '!$C$5&amp;" Total Annual Plan Spending (i.e., Allowed) Dollar Amount (PMPM)"</f>
        <v>2025 Total Annual Plan Spending (i.e., Allowed) Dollar Amount (PMPM)</v>
      </c>
      <c r="C11" s="278" t="str">
        <f>'Cover-Input Page '!$C$5-1&amp;" Total Annual Plan Spending (i.e., Allowed) Dollar Amount (PMPM)"</f>
        <v>2024 Total Annual Plan Spending (i.e., Allowed) Dollar Amount (PMPM)</v>
      </c>
      <c r="D11" s="269" t="s">
        <v>269</v>
      </c>
    </row>
    <row r="12" spans="1:4" ht="54.75" customHeight="1" x14ac:dyDescent="0.35">
      <c r="A12" s="270" t="s">
        <v>363</v>
      </c>
      <c r="B12" s="52">
        <f>27612315.25*17.7%/B20</f>
        <v>16.435017618267782</v>
      </c>
      <c r="C12" s="52">
        <f>32558381.6*14%/C20</f>
        <v>13.490030613332072</v>
      </c>
      <c r="D12" s="279">
        <f>B12/C12-1</f>
        <v>0.21830840042906985</v>
      </c>
    </row>
    <row r="13" spans="1:4" ht="54.75" customHeight="1" x14ac:dyDescent="0.35">
      <c r="A13" s="270" t="s">
        <v>364</v>
      </c>
      <c r="B13" s="52">
        <f>27612315.25*5.3%/B20</f>
        <v>4.9212199647920478</v>
      </c>
      <c r="C13" s="52">
        <f>32558381.6*23%/C20</f>
        <v>22.162193150474121</v>
      </c>
      <c r="D13" s="279">
        <f>B13/C13-1</f>
        <v>-0.77794526329688773</v>
      </c>
    </row>
    <row r="14" spans="1:4" ht="31" x14ac:dyDescent="0.35">
      <c r="A14" s="270" t="s">
        <v>365</v>
      </c>
      <c r="B14" s="52">
        <f>27612315.25*77%/B20</f>
        <v>71.496969299808995</v>
      </c>
      <c r="C14" s="52">
        <f>32558381.6*63%/C20</f>
        <v>60.705137759994315</v>
      </c>
      <c r="D14" s="279">
        <f>B14/C14-1</f>
        <v>0.17777459928485118</v>
      </c>
    </row>
    <row r="15" spans="1:4" ht="45" customHeight="1" x14ac:dyDescent="0.35">
      <c r="A15" s="270" t="s">
        <v>270</v>
      </c>
      <c r="B15" s="290">
        <f>SUM(B12:B14)</f>
        <v>92.853206882868818</v>
      </c>
      <c r="C15" s="290">
        <f>SUM(C12:C14)</f>
        <v>96.357361523800506</v>
      </c>
      <c r="D15" s="279">
        <f>B15/C15-1</f>
        <v>-3.6366236948758179E-2</v>
      </c>
    </row>
    <row r="16" spans="1:4" ht="45" customHeight="1" x14ac:dyDescent="0.35">
      <c r="A16" s="270" t="s">
        <v>271</v>
      </c>
      <c r="B16" s="53">
        <f>-2051307.12/B20</f>
        <v>-6.898025126439256</v>
      </c>
      <c r="C16" s="53">
        <f>-2251680.38/C20</f>
        <v>-6.663905567459425</v>
      </c>
      <c r="D16" s="279">
        <f>B16/C16-1</f>
        <v>3.5132484488235027E-2</v>
      </c>
    </row>
    <row r="17" spans="1:4" ht="30" customHeight="1" x14ac:dyDescent="0.35">
      <c r="A17" s="272"/>
      <c r="B17" s="285"/>
      <c r="C17" s="285"/>
      <c r="D17" s="286"/>
    </row>
    <row r="18" spans="1:4" ht="31" x14ac:dyDescent="0.35">
      <c r="A18" s="275"/>
      <c r="B18" s="291">
        <f>'Cover-Input Page '!$C$5</f>
        <v>2025</v>
      </c>
      <c r="C18" s="292">
        <f>B18-1</f>
        <v>2024</v>
      </c>
      <c r="D18" s="287" t="s">
        <v>272</v>
      </c>
    </row>
    <row r="19" spans="1:4" ht="45" customHeight="1" x14ac:dyDescent="0.35">
      <c r="A19" s="293" t="str">
        <f>'LGPDCD-PharmPctPrem'!A19</f>
        <v>Total Health Care Paid Premiums with pharmacy benefits carve-in (PMPM)</v>
      </c>
      <c r="B19" s="72">
        <f>98875928/B20</f>
        <v>332.49464650812439</v>
      </c>
      <c r="C19" s="52">
        <f>97639131/C20</f>
        <v>288.96550081090999</v>
      </c>
      <c r="D19" s="279">
        <f>B19/C19-1</f>
        <v>0.15063786360330433</v>
      </c>
    </row>
    <row r="20" spans="1:4" ht="30" customHeight="1" x14ac:dyDescent="0.35">
      <c r="A20" s="258" t="s">
        <v>1897</v>
      </c>
      <c r="B20" s="258">
        <v>297376</v>
      </c>
      <c r="C20" s="259">
        <v>337892</v>
      </c>
      <c r="D20" s="259"/>
    </row>
    <row r="21" spans="1:4" ht="30" customHeight="1" x14ac:dyDescent="0.35"/>
    <row r="22" spans="1:4" ht="30" customHeight="1" x14ac:dyDescent="0.35"/>
    <row r="23" spans="1:4" ht="30" customHeight="1" x14ac:dyDescent="0.35">
      <c r="A23" s="288"/>
      <c r="B23" s="288"/>
      <c r="C23" s="288"/>
      <c r="D23" s="288"/>
    </row>
    <row r="24" spans="1:4" ht="30" customHeight="1" x14ac:dyDescent="0.35"/>
  </sheetData>
  <sheetProtection algorithmName="SHA-512" hashValue="qYwVlLju2wIIzxn+rTLOOn1ngQ5BR79iUWWg1XbA2hx/FaggQvpTy2/IjaUX9XY2+9/fwOXtk6FRh00ZZjZD/Q==" saltValue="JFcARL9jPrBlpVOt1khO8g==" spinCount="100000" sheet="1" objects="1" scenarios="1"/>
  <printOptions horizontalCentered="1"/>
  <pageMargins left="0.7" right="0.7" top="0.75" bottom="0.75" header="0.3" footer="0.3"/>
  <pageSetup scale="84" orientation="landscape" r:id="rId1"/>
  <headerFooter>
    <oddFooter>&amp;L&amp;A
Version Date: June 2, 2025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96580-E2C4-4CBE-8EFD-207D5C4C9AC2}">
  <sheetPr>
    <tabColor theme="0"/>
    <pageSetUpPr fitToPage="1"/>
  </sheetPr>
  <dimension ref="A1:D62"/>
  <sheetViews>
    <sheetView showGridLines="0" showWhiteSpace="0" zoomScaleNormal="100" zoomScaleSheetLayoutView="100" zoomScalePageLayoutView="85" workbookViewId="0">
      <selection activeCell="B23" sqref="B23"/>
    </sheetView>
  </sheetViews>
  <sheetFormatPr defaultColWidth="7.84375" defaultRowHeight="15.5" x14ac:dyDescent="0.35"/>
  <cols>
    <col min="1" max="1" width="55.07421875" style="258" customWidth="1"/>
    <col min="2" max="4" width="19.07421875" style="258" customWidth="1"/>
    <col min="5" max="16384" width="7.84375" style="258"/>
  </cols>
  <sheetData>
    <row r="1" spans="1:4" ht="16.5" customHeight="1" x14ac:dyDescent="0.35">
      <c r="A1" s="257" t="s">
        <v>60</v>
      </c>
      <c r="B1" s="259"/>
      <c r="C1" s="86"/>
      <c r="D1" s="86"/>
    </row>
    <row r="2" spans="1:4" ht="16.5" customHeight="1" x14ac:dyDescent="0.35">
      <c r="A2" s="257" t="s">
        <v>258</v>
      </c>
      <c r="B2" s="259"/>
      <c r="C2" s="86"/>
      <c r="D2" s="86"/>
    </row>
    <row r="3" spans="1:4" ht="16.5" customHeight="1" x14ac:dyDescent="0.35">
      <c r="A3" s="257" t="s">
        <v>310</v>
      </c>
      <c r="B3" s="259"/>
      <c r="C3" s="86"/>
      <c r="D3" s="86"/>
    </row>
    <row r="4" spans="1:4" x14ac:dyDescent="0.35">
      <c r="A4" s="262" t="s">
        <v>273</v>
      </c>
      <c r="B4" s="261"/>
      <c r="C4" s="282"/>
      <c r="D4" s="282"/>
    </row>
    <row r="5" spans="1:4" ht="16.5" customHeight="1" x14ac:dyDescent="0.35">
      <c r="A5" s="262" t="s">
        <v>274</v>
      </c>
      <c r="B5" s="261"/>
      <c r="C5" s="282"/>
      <c r="D5" s="282"/>
    </row>
    <row r="6" spans="1:4" ht="16.5" customHeight="1" x14ac:dyDescent="0.35">
      <c r="B6" s="263"/>
      <c r="C6" s="263"/>
      <c r="D6" s="263"/>
    </row>
    <row r="7" spans="1:4" ht="16.5" customHeight="1" x14ac:dyDescent="0.35">
      <c r="A7" s="277" t="str">
        <f>'Cover-Input Page '!B7&amp;": "&amp;'Cover-Input Page '!C7</f>
        <v>Company Name (Health Plan): Wellfleet Insurance Company</v>
      </c>
      <c r="B7" s="275"/>
      <c r="C7" s="259"/>
      <c r="D7" s="259"/>
    </row>
    <row r="8" spans="1:4" ht="16.5" customHeight="1" x14ac:dyDescent="0.35">
      <c r="A8" s="277" t="str">
        <f>"Reporting Year: "&amp;'Cover-Input Page '!$C$5</f>
        <v>Reporting Year: 2025</v>
      </c>
      <c r="B8" s="283"/>
      <c r="C8" s="259"/>
      <c r="D8" s="259"/>
    </row>
    <row r="9" spans="1:4" ht="16.5" customHeight="1" x14ac:dyDescent="0.35"/>
    <row r="10" spans="1:4" ht="31" x14ac:dyDescent="0.35">
      <c r="A10" s="293" t="str">
        <f>"Components of "&amp;'LGPDCD-PharmPctPrem'!A19</f>
        <v>Components of Total Health Care Paid Premiums with pharmacy benefits carve-in (PMPM)</v>
      </c>
      <c r="B10" s="278" t="str">
        <f>'Cover-Input Page '!$C$5&amp;" (PMPM)"</f>
        <v>2025 (PMPM)</v>
      </c>
      <c r="C10" s="278" t="str">
        <f>'Cover-Input Page '!$C$5-1&amp;" (PMPM)"</f>
        <v>2024 (PMPM)</v>
      </c>
      <c r="D10" s="269" t="s">
        <v>275</v>
      </c>
    </row>
    <row r="11" spans="1:4" ht="31" x14ac:dyDescent="0.35">
      <c r="A11" s="270" t="s">
        <v>276</v>
      </c>
      <c r="B11" s="48">
        <v>88.254220044657274</v>
      </c>
      <c r="C11" s="48">
        <f>31025839.81/337892</f>
        <v>91.821764972239649</v>
      </c>
      <c r="D11" s="294">
        <f>B11-C11</f>
        <v>-3.5675449275823752</v>
      </c>
    </row>
    <row r="12" spans="1:4" x14ac:dyDescent="0.35">
      <c r="A12" s="270"/>
      <c r="B12" s="48"/>
      <c r="C12" s="48"/>
      <c r="D12" s="48"/>
    </row>
    <row r="13" spans="1:4" ht="31.5" customHeight="1" x14ac:dyDescent="0.35">
      <c r="A13" s="270" t="s">
        <v>277</v>
      </c>
      <c r="B13" s="48">
        <v>0</v>
      </c>
      <c r="C13" s="48">
        <v>0</v>
      </c>
      <c r="D13" s="294">
        <f>B13-C13</f>
        <v>0</v>
      </c>
    </row>
    <row r="14" spans="1:4" x14ac:dyDescent="0.35">
      <c r="A14" s="270"/>
      <c r="B14" s="48"/>
      <c r="C14" s="48"/>
      <c r="D14" s="297"/>
    </row>
    <row r="15" spans="1:4" ht="27" customHeight="1" x14ac:dyDescent="0.35">
      <c r="A15" s="270" t="s">
        <v>278</v>
      </c>
      <c r="B15" s="295">
        <f>'LGPDCD-YoYTotalPlanSpnd'!B16</f>
        <v>-6.898025126439256</v>
      </c>
      <c r="C15" s="295">
        <f>'LGPDCD-YoYTotalPlanSpnd'!C16</f>
        <v>-6.663905567459425</v>
      </c>
      <c r="D15" s="295">
        <f>B15-C15</f>
        <v>-0.23411955897983106</v>
      </c>
    </row>
    <row r="16" spans="1:4" x14ac:dyDescent="0.35">
      <c r="A16" s="270"/>
      <c r="B16" s="48"/>
      <c r="C16" s="48"/>
      <c r="D16" s="297"/>
    </row>
    <row r="17" spans="1:4" ht="31" x14ac:dyDescent="0.35">
      <c r="A17" s="270" t="s">
        <v>279</v>
      </c>
      <c r="B17" s="48">
        <f>(77916007.55/0.93)/297376</f>
        <v>281.73306951324207</v>
      </c>
      <c r="C17" s="48">
        <f>74777374.28/337892</f>
        <v>221.30554816331846</v>
      </c>
      <c r="D17" s="294">
        <f>B17-C17</f>
        <v>60.427521349923609</v>
      </c>
    </row>
    <row r="18" spans="1:4" x14ac:dyDescent="0.35">
      <c r="A18" s="270"/>
      <c r="B18" s="50"/>
      <c r="C18" s="50"/>
      <c r="D18" s="50"/>
    </row>
    <row r="19" spans="1:4" ht="31" x14ac:dyDescent="0.35">
      <c r="A19" s="270" t="s">
        <v>280</v>
      </c>
      <c r="B19" s="50">
        <f>('LGHistData-Summary'!I49+'LGHistData-Summary'!I51)/'LGHistData-Summary'!I47*B29</f>
        <v>48.377971066932105</v>
      </c>
      <c r="C19" s="50">
        <f>('LGHistData-Summary'!H49+'LGHistData-Summary'!H51)/'LGHistData-Summary'!H47*C29</f>
        <v>38.14470057931991</v>
      </c>
      <c r="D19" s="296">
        <f>B19-C19</f>
        <v>10.233270487612195</v>
      </c>
    </row>
    <row r="20" spans="1:4" x14ac:dyDescent="0.35">
      <c r="A20" s="270"/>
      <c r="B20" s="50"/>
      <c r="C20" s="50"/>
      <c r="D20" s="50"/>
    </row>
    <row r="21" spans="1:4" x14ac:dyDescent="0.35">
      <c r="A21" s="270" t="s">
        <v>281</v>
      </c>
      <c r="B21" s="48">
        <v>0</v>
      </c>
      <c r="C21" s="48">
        <v>0</v>
      </c>
      <c r="D21" s="294">
        <f>B21-C21</f>
        <v>0</v>
      </c>
    </row>
    <row r="22" spans="1:4" x14ac:dyDescent="0.35">
      <c r="A22" s="270"/>
      <c r="B22" s="50"/>
      <c r="C22" s="50"/>
      <c r="D22" s="50"/>
    </row>
    <row r="23" spans="1:4" x14ac:dyDescent="0.35">
      <c r="A23" s="270" t="s">
        <v>282</v>
      </c>
      <c r="B23" s="49">
        <f>'LGHistData-Summary'!I50/'LGHistData-Summary'!I47*B29</f>
        <v>-3.8864097377388416</v>
      </c>
      <c r="C23" s="49">
        <f>'LGHistData-Summary'!H50/'LGHistData-Summary'!H47*C29</f>
        <v>10.258378190621315</v>
      </c>
      <c r="D23" s="294">
        <f>B23-C23</f>
        <v>-14.144787928360156</v>
      </c>
    </row>
    <row r="24" spans="1:4" x14ac:dyDescent="0.35">
      <c r="A24" s="270"/>
      <c r="B24" s="50"/>
      <c r="C24" s="50"/>
      <c r="D24" s="50"/>
    </row>
    <row r="25" spans="1:4" x14ac:dyDescent="0.35">
      <c r="A25" s="270" t="s">
        <v>283</v>
      </c>
      <c r="B25" s="48">
        <f>B29-B11-B13-B15-B17-B19-B21-B23</f>
        <v>-75.086179252528964</v>
      </c>
      <c r="C25" s="48">
        <f>C29-C11-C13-C15-C17-C19-C21-C23</f>
        <v>-65.900985527129905</v>
      </c>
      <c r="D25" s="294">
        <f>B25-C25</f>
        <v>-9.1851937253990599</v>
      </c>
    </row>
    <row r="26" spans="1:4" x14ac:dyDescent="0.35">
      <c r="A26" s="270"/>
      <c r="B26" s="50"/>
      <c r="C26" s="50"/>
      <c r="D26" s="50"/>
    </row>
    <row r="27" spans="1:4" x14ac:dyDescent="0.35">
      <c r="A27" s="270" t="s">
        <v>284</v>
      </c>
      <c r="B27" s="48"/>
      <c r="C27" s="48"/>
      <c r="D27" s="294">
        <f>B27-C27</f>
        <v>0</v>
      </c>
    </row>
    <row r="28" spans="1:4" x14ac:dyDescent="0.35">
      <c r="A28" s="270"/>
      <c r="B28" s="50"/>
      <c r="C28" s="50"/>
      <c r="D28" s="50"/>
    </row>
    <row r="29" spans="1:4" ht="31" x14ac:dyDescent="0.35">
      <c r="A29" s="270" t="s">
        <v>285</v>
      </c>
      <c r="B29" s="294">
        <f>'LGPDCD-YoYTotalPlanSpnd'!B19</f>
        <v>332.49464650812439</v>
      </c>
      <c r="C29" s="294">
        <f>'LGPDCD-YoYTotalPlanSpnd'!C19</f>
        <v>288.96550081090999</v>
      </c>
      <c r="D29" s="294">
        <f>B29-C29</f>
        <v>43.529145697214403</v>
      </c>
    </row>
    <row r="30" spans="1:4" x14ac:dyDescent="0.35">
      <c r="B30" s="298"/>
      <c r="C30" s="298"/>
    </row>
    <row r="31" spans="1:4" x14ac:dyDescent="0.35">
      <c r="A31" s="270" t="s">
        <v>286</v>
      </c>
      <c r="B31" s="291">
        <f>'Cover-Input Page '!$C$5</f>
        <v>2025</v>
      </c>
      <c r="C31" s="291">
        <f>B31-1</f>
        <v>2024</v>
      </c>
    </row>
    <row r="32" spans="1:4" x14ac:dyDescent="0.35">
      <c r="A32" s="270" t="s">
        <v>287</v>
      </c>
      <c r="B32" s="51">
        <v>297376</v>
      </c>
      <c r="C32" s="51">
        <v>337892</v>
      </c>
    </row>
    <row r="33" spans="1:4" ht="31" x14ac:dyDescent="0.35">
      <c r="A33" s="270" t="s">
        <v>288</v>
      </c>
      <c r="B33" s="51">
        <v>297376</v>
      </c>
      <c r="C33" s="51">
        <v>337892</v>
      </c>
    </row>
    <row r="34" spans="1:4" x14ac:dyDescent="0.35">
      <c r="A34" s="299"/>
      <c r="B34" s="300"/>
      <c r="C34" s="300"/>
      <c r="D34" s="300"/>
    </row>
    <row r="35" spans="1:4" x14ac:dyDescent="0.35">
      <c r="A35" s="264"/>
      <c r="B35" s="301"/>
      <c r="C35" s="301"/>
      <c r="D35" s="259"/>
    </row>
    <row r="36" spans="1:4" x14ac:dyDescent="0.35">
      <c r="A36" s="264"/>
      <c r="B36" s="283"/>
      <c r="C36" s="259"/>
      <c r="D36" s="259"/>
    </row>
    <row r="37" spans="1:4" x14ac:dyDescent="0.35">
      <c r="A37" s="264"/>
      <c r="B37" s="283"/>
      <c r="C37" s="259"/>
      <c r="D37" s="259"/>
    </row>
    <row r="38" spans="1:4" x14ac:dyDescent="0.35">
      <c r="A38" s="264"/>
      <c r="B38" s="283"/>
      <c r="C38" s="259"/>
      <c r="D38" s="259"/>
    </row>
    <row r="39" spans="1:4" x14ac:dyDescent="0.35">
      <c r="A39" s="264"/>
      <c r="B39" s="283"/>
      <c r="C39" s="259"/>
      <c r="D39" s="259"/>
    </row>
    <row r="41" spans="1:4" ht="45.75" customHeight="1" x14ac:dyDescent="0.35"/>
    <row r="60" spans="3:3" x14ac:dyDescent="0.35">
      <c r="C60" s="302"/>
    </row>
    <row r="61" spans="3:3" x14ac:dyDescent="0.35">
      <c r="C61" s="302"/>
    </row>
    <row r="62" spans="3:3" x14ac:dyDescent="0.35">
      <c r="C62" s="302"/>
    </row>
  </sheetData>
  <sheetProtection algorithmName="SHA-512" hashValue="zSD5W4+zJDpNpdLWDAji+JToaJdVIWc4hBFVk7A9Cn2beAopxsHxu/LQj/rSNYOiQE0rMNUVAxU04VECV6EraQ==" saltValue="RDtjmaBeITAWS2jjUBS5jQ==" spinCount="100000" sheet="1" objects="1" scenarios="1"/>
  <printOptions horizontalCentered="1"/>
  <pageMargins left="0.7" right="0.7" top="0.75" bottom="0.75" header="0.3" footer="0.3"/>
  <pageSetup scale="83" orientation="landscape" r:id="rId1"/>
  <headerFooter>
    <oddFooter>&amp;L&amp;A
Version Date: June 2, 2025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9E894-B999-40B4-8650-710B6CBBF85D}">
  <sheetPr>
    <tabColor theme="0"/>
  </sheetPr>
  <dimension ref="A1:J1169"/>
  <sheetViews>
    <sheetView showGridLines="0" topLeftCell="A1142" zoomScaleNormal="100" zoomScaleSheetLayoutView="83" workbookViewId="0">
      <selection activeCell="A11" sqref="A11:B1169"/>
    </sheetView>
  </sheetViews>
  <sheetFormatPr defaultColWidth="7.84375" defaultRowHeight="15.5" x14ac:dyDescent="0.35"/>
  <cols>
    <col min="1" max="1" width="62.07421875" style="258" customWidth="1"/>
    <col min="2" max="2" width="76.4609375" style="258" customWidth="1"/>
    <col min="3" max="16384" width="7.84375" style="258"/>
  </cols>
  <sheetData>
    <row r="1" spans="1:10" x14ac:dyDescent="0.35">
      <c r="A1" s="257" t="s">
        <v>60</v>
      </c>
      <c r="B1" s="303"/>
      <c r="C1" s="259"/>
      <c r="D1" s="259"/>
      <c r="E1" s="259"/>
      <c r="F1" s="259"/>
      <c r="G1" s="259"/>
      <c r="H1" s="259"/>
      <c r="I1" s="259"/>
      <c r="J1" s="259"/>
    </row>
    <row r="2" spans="1:10" x14ac:dyDescent="0.35">
      <c r="A2" s="257" t="s">
        <v>258</v>
      </c>
      <c r="B2" s="303"/>
      <c r="C2" s="86"/>
      <c r="D2" s="86"/>
      <c r="E2" s="86"/>
      <c r="F2" s="86"/>
      <c r="G2" s="86"/>
      <c r="H2" s="86"/>
      <c r="I2" s="86"/>
    </row>
    <row r="3" spans="1:10" x14ac:dyDescent="0.35">
      <c r="A3" s="257" t="s">
        <v>310</v>
      </c>
      <c r="B3" s="303"/>
      <c r="C3" s="86"/>
      <c r="D3" s="86"/>
      <c r="E3" s="86"/>
      <c r="F3" s="86"/>
      <c r="G3" s="86"/>
      <c r="H3" s="86"/>
      <c r="I3" s="86"/>
      <c r="J3" s="86"/>
    </row>
    <row r="4" spans="1:10" x14ac:dyDescent="0.35">
      <c r="A4" s="260" t="s">
        <v>289</v>
      </c>
      <c r="B4" s="304"/>
      <c r="C4" s="282"/>
      <c r="D4" s="282"/>
      <c r="E4" s="282"/>
      <c r="F4" s="282"/>
      <c r="G4" s="282"/>
      <c r="H4" s="282"/>
      <c r="I4" s="282"/>
      <c r="J4" s="282"/>
    </row>
    <row r="5" spans="1:10" x14ac:dyDescent="0.35">
      <c r="A5" s="260" t="s">
        <v>290</v>
      </c>
      <c r="B5" s="304"/>
      <c r="C5" s="282"/>
      <c r="D5" s="282"/>
      <c r="E5" s="282"/>
      <c r="F5" s="282"/>
      <c r="G5" s="282"/>
      <c r="H5" s="282"/>
      <c r="I5" s="282"/>
      <c r="J5" s="282"/>
    </row>
    <row r="6" spans="1:10" x14ac:dyDescent="0.35">
      <c r="C6" s="259"/>
      <c r="D6" s="259"/>
      <c r="E6" s="259"/>
      <c r="F6" s="259"/>
      <c r="G6" s="259"/>
      <c r="H6" s="259"/>
      <c r="I6" s="259"/>
      <c r="J6" s="259"/>
    </row>
    <row r="7" spans="1:10" x14ac:dyDescent="0.35">
      <c r="A7" s="277" t="str">
        <f>'Cover-Input Page '!B7&amp;": "&amp;'Cover-Input Page '!C7</f>
        <v>Company Name (Health Plan): Wellfleet Insurance Company</v>
      </c>
      <c r="B7" s="275"/>
      <c r="C7" s="259"/>
      <c r="D7" s="259"/>
      <c r="E7" s="259"/>
    </row>
    <row r="8" spans="1:10" x14ac:dyDescent="0.35">
      <c r="A8" s="277" t="str">
        <f>"Reporting Year: "&amp;'Cover-Input Page '!$C$5</f>
        <v>Reporting Year: 2025</v>
      </c>
      <c r="B8" s="283"/>
      <c r="C8" s="259"/>
      <c r="D8" s="259"/>
      <c r="E8" s="259"/>
    </row>
    <row r="10" spans="1:10" x14ac:dyDescent="0.35">
      <c r="A10" s="305" t="s">
        <v>291</v>
      </c>
      <c r="B10" s="305" t="s">
        <v>292</v>
      </c>
    </row>
    <row r="11" spans="1:10" x14ac:dyDescent="0.35">
      <c r="A11" s="306" t="s">
        <v>525</v>
      </c>
      <c r="B11" s="306" t="s">
        <v>526</v>
      </c>
    </row>
    <row r="12" spans="1:10" x14ac:dyDescent="0.35">
      <c r="A12" s="306" t="s">
        <v>527</v>
      </c>
      <c r="B12" s="306" t="s">
        <v>528</v>
      </c>
    </row>
    <row r="13" spans="1:10" x14ac:dyDescent="0.35">
      <c r="A13" s="306" t="s">
        <v>529</v>
      </c>
      <c r="B13" s="306" t="s">
        <v>528</v>
      </c>
    </row>
    <row r="14" spans="1:10" x14ac:dyDescent="0.35">
      <c r="A14" s="306" t="s">
        <v>530</v>
      </c>
      <c r="B14" s="306" t="s">
        <v>528</v>
      </c>
    </row>
    <row r="15" spans="1:10" x14ac:dyDescent="0.35">
      <c r="A15" s="306" t="s">
        <v>531</v>
      </c>
      <c r="B15" s="306" t="s">
        <v>532</v>
      </c>
    </row>
    <row r="16" spans="1:10" x14ac:dyDescent="0.35">
      <c r="A16" s="306" t="s">
        <v>533</v>
      </c>
      <c r="B16" s="306" t="s">
        <v>534</v>
      </c>
    </row>
    <row r="17" spans="1:2" x14ac:dyDescent="0.35">
      <c r="A17" s="306" t="s">
        <v>535</v>
      </c>
      <c r="B17" s="306" t="s">
        <v>532</v>
      </c>
    </row>
    <row r="18" spans="1:2" x14ac:dyDescent="0.35">
      <c r="A18" s="306" t="s">
        <v>536</v>
      </c>
      <c r="B18" s="306" t="s">
        <v>537</v>
      </c>
    </row>
    <row r="19" spans="1:2" x14ac:dyDescent="0.35">
      <c r="A19" s="306" t="s">
        <v>538</v>
      </c>
      <c r="B19" s="306" t="s">
        <v>537</v>
      </c>
    </row>
    <row r="20" spans="1:2" x14ac:dyDescent="0.35">
      <c r="A20" s="306" t="s">
        <v>539</v>
      </c>
      <c r="B20" s="306" t="s">
        <v>540</v>
      </c>
    </row>
    <row r="21" spans="1:2" x14ac:dyDescent="0.35">
      <c r="A21" s="306" t="s">
        <v>541</v>
      </c>
      <c r="B21" s="306" t="s">
        <v>540</v>
      </c>
    </row>
    <row r="22" spans="1:2" x14ac:dyDescent="0.35">
      <c r="A22" s="306" t="s">
        <v>542</v>
      </c>
      <c r="B22" s="306" t="s">
        <v>543</v>
      </c>
    </row>
    <row r="23" spans="1:2" x14ac:dyDescent="0.35">
      <c r="A23" s="306" t="s">
        <v>544</v>
      </c>
      <c r="B23" s="306" t="s">
        <v>543</v>
      </c>
    </row>
    <row r="24" spans="1:2" x14ac:dyDescent="0.35">
      <c r="A24" s="306" t="s">
        <v>545</v>
      </c>
      <c r="B24" s="306" t="s">
        <v>546</v>
      </c>
    </row>
    <row r="25" spans="1:2" x14ac:dyDescent="0.35">
      <c r="A25" s="306" t="s">
        <v>547</v>
      </c>
      <c r="B25" s="306" t="s">
        <v>548</v>
      </c>
    </row>
    <row r="26" spans="1:2" x14ac:dyDescent="0.35">
      <c r="A26" s="306" t="s">
        <v>549</v>
      </c>
      <c r="B26" s="306" t="s">
        <v>550</v>
      </c>
    </row>
    <row r="27" spans="1:2" x14ac:dyDescent="0.35">
      <c r="A27" s="306" t="s">
        <v>551</v>
      </c>
      <c r="B27" s="306" t="s">
        <v>537</v>
      </c>
    </row>
    <row r="28" spans="1:2" x14ac:dyDescent="0.35">
      <c r="A28" s="306" t="s">
        <v>552</v>
      </c>
      <c r="B28" s="306" t="s">
        <v>537</v>
      </c>
    </row>
    <row r="29" spans="1:2" x14ac:dyDescent="0.35">
      <c r="A29" s="306" t="s">
        <v>553</v>
      </c>
      <c r="B29" s="306" t="s">
        <v>537</v>
      </c>
    </row>
    <row r="30" spans="1:2" x14ac:dyDescent="0.35">
      <c r="A30" s="306" t="s">
        <v>554</v>
      </c>
      <c r="B30" s="306" t="s">
        <v>537</v>
      </c>
    </row>
    <row r="31" spans="1:2" x14ac:dyDescent="0.35">
      <c r="A31" s="306" t="s">
        <v>555</v>
      </c>
      <c r="B31" s="306" t="s">
        <v>537</v>
      </c>
    </row>
    <row r="32" spans="1:2" x14ac:dyDescent="0.35">
      <c r="A32" s="306" t="s">
        <v>556</v>
      </c>
      <c r="B32" s="306" t="s">
        <v>537</v>
      </c>
    </row>
    <row r="33" spans="1:2" x14ac:dyDescent="0.35">
      <c r="A33" s="306" t="s">
        <v>557</v>
      </c>
      <c r="B33" s="306" t="s">
        <v>537</v>
      </c>
    </row>
    <row r="34" spans="1:2" x14ac:dyDescent="0.35">
      <c r="A34" s="306" t="s">
        <v>558</v>
      </c>
      <c r="B34" s="306" t="s">
        <v>537</v>
      </c>
    </row>
    <row r="35" spans="1:2" x14ac:dyDescent="0.35">
      <c r="A35" s="306" t="s">
        <v>559</v>
      </c>
      <c r="B35" s="306" t="s">
        <v>537</v>
      </c>
    </row>
    <row r="36" spans="1:2" x14ac:dyDescent="0.35">
      <c r="A36" s="306" t="s">
        <v>560</v>
      </c>
      <c r="B36" s="306" t="s">
        <v>537</v>
      </c>
    </row>
    <row r="37" spans="1:2" x14ac:dyDescent="0.35">
      <c r="A37" s="306" t="s">
        <v>561</v>
      </c>
      <c r="B37" s="306" t="s">
        <v>537</v>
      </c>
    </row>
    <row r="38" spans="1:2" x14ac:dyDescent="0.35">
      <c r="A38" s="306" t="s">
        <v>562</v>
      </c>
      <c r="B38" s="306" t="s">
        <v>537</v>
      </c>
    </row>
    <row r="39" spans="1:2" x14ac:dyDescent="0.35">
      <c r="A39" s="306" t="s">
        <v>563</v>
      </c>
      <c r="B39" s="306" t="s">
        <v>537</v>
      </c>
    </row>
    <row r="40" spans="1:2" x14ac:dyDescent="0.35">
      <c r="A40" s="306" t="s">
        <v>564</v>
      </c>
      <c r="B40" s="306" t="s">
        <v>537</v>
      </c>
    </row>
    <row r="41" spans="1:2" x14ac:dyDescent="0.35">
      <c r="A41" s="306" t="s">
        <v>565</v>
      </c>
      <c r="B41" s="306" t="s">
        <v>537</v>
      </c>
    </row>
    <row r="42" spans="1:2" x14ac:dyDescent="0.35">
      <c r="A42" s="306" t="s">
        <v>566</v>
      </c>
      <c r="B42" s="306" t="s">
        <v>537</v>
      </c>
    </row>
    <row r="43" spans="1:2" x14ac:dyDescent="0.35">
      <c r="A43" s="306" t="s">
        <v>567</v>
      </c>
      <c r="B43" s="306" t="s">
        <v>537</v>
      </c>
    </row>
    <row r="44" spans="1:2" x14ac:dyDescent="0.35">
      <c r="A44" s="306" t="s">
        <v>568</v>
      </c>
      <c r="B44" s="306" t="s">
        <v>537</v>
      </c>
    </row>
    <row r="45" spans="1:2" x14ac:dyDescent="0.35">
      <c r="A45" s="306" t="s">
        <v>569</v>
      </c>
      <c r="B45" s="306" t="s">
        <v>570</v>
      </c>
    </row>
    <row r="46" spans="1:2" x14ac:dyDescent="0.35">
      <c r="A46" s="306" t="s">
        <v>571</v>
      </c>
      <c r="B46" s="306" t="s">
        <v>572</v>
      </c>
    </row>
    <row r="47" spans="1:2" x14ac:dyDescent="0.35">
      <c r="A47" s="306" t="s">
        <v>573</v>
      </c>
      <c r="B47" s="306" t="s">
        <v>532</v>
      </c>
    </row>
    <row r="48" spans="1:2" x14ac:dyDescent="0.35">
      <c r="A48" s="306" t="s">
        <v>574</v>
      </c>
      <c r="B48" s="306" t="s">
        <v>575</v>
      </c>
    </row>
    <row r="49" spans="1:2" x14ac:dyDescent="0.35">
      <c r="A49" s="306" t="s">
        <v>576</v>
      </c>
      <c r="B49" s="306" t="s">
        <v>577</v>
      </c>
    </row>
    <row r="50" spans="1:2" x14ac:dyDescent="0.35">
      <c r="A50" s="306" t="s">
        <v>578</v>
      </c>
      <c r="B50" s="306" t="s">
        <v>579</v>
      </c>
    </row>
    <row r="51" spans="1:2" x14ac:dyDescent="0.35">
      <c r="A51" s="306" t="s">
        <v>580</v>
      </c>
      <c r="B51" s="306" t="s">
        <v>532</v>
      </c>
    </row>
    <row r="52" spans="1:2" x14ac:dyDescent="0.35">
      <c r="A52" s="306" t="s">
        <v>581</v>
      </c>
      <c r="B52" s="306" t="s">
        <v>526</v>
      </c>
    </row>
    <row r="53" spans="1:2" x14ac:dyDescent="0.35">
      <c r="A53" s="306" t="s">
        <v>582</v>
      </c>
      <c r="B53" s="306" t="s">
        <v>583</v>
      </c>
    </row>
    <row r="54" spans="1:2" x14ac:dyDescent="0.35">
      <c r="A54" s="306" t="s">
        <v>584</v>
      </c>
      <c r="B54" s="306" t="s">
        <v>585</v>
      </c>
    </row>
    <row r="55" spans="1:2" x14ac:dyDescent="0.35">
      <c r="A55" s="306" t="s">
        <v>586</v>
      </c>
      <c r="B55" s="306" t="s">
        <v>587</v>
      </c>
    </row>
    <row r="56" spans="1:2" x14ac:dyDescent="0.35">
      <c r="A56" s="306" t="s">
        <v>588</v>
      </c>
      <c r="B56" s="306" t="s">
        <v>587</v>
      </c>
    </row>
    <row r="57" spans="1:2" x14ac:dyDescent="0.35">
      <c r="A57" s="306" t="s">
        <v>589</v>
      </c>
      <c r="B57" s="306" t="s">
        <v>590</v>
      </c>
    </row>
    <row r="58" spans="1:2" x14ac:dyDescent="0.35">
      <c r="A58" s="306" t="s">
        <v>591</v>
      </c>
      <c r="B58" s="306" t="s">
        <v>532</v>
      </c>
    </row>
    <row r="59" spans="1:2" x14ac:dyDescent="0.35">
      <c r="A59" s="306" t="s">
        <v>592</v>
      </c>
      <c r="B59" s="306" t="s">
        <v>532</v>
      </c>
    </row>
    <row r="60" spans="1:2" x14ac:dyDescent="0.35">
      <c r="A60" s="306" t="s">
        <v>593</v>
      </c>
      <c r="B60" s="306" t="s">
        <v>587</v>
      </c>
    </row>
    <row r="61" spans="1:2" x14ac:dyDescent="0.35">
      <c r="A61" s="306" t="s">
        <v>594</v>
      </c>
      <c r="B61" s="306" t="s">
        <v>595</v>
      </c>
    </row>
    <row r="62" spans="1:2" x14ac:dyDescent="0.35">
      <c r="A62" s="306" t="s">
        <v>596</v>
      </c>
      <c r="B62" s="306" t="s">
        <v>534</v>
      </c>
    </row>
    <row r="63" spans="1:2" x14ac:dyDescent="0.35">
      <c r="A63" s="306" t="s">
        <v>597</v>
      </c>
      <c r="B63" s="306" t="s">
        <v>532</v>
      </c>
    </row>
    <row r="64" spans="1:2" x14ac:dyDescent="0.35">
      <c r="A64" s="306" t="s">
        <v>598</v>
      </c>
      <c r="B64" s="306" t="s">
        <v>599</v>
      </c>
    </row>
    <row r="65" spans="1:2" x14ac:dyDescent="0.35">
      <c r="A65" s="306" t="s">
        <v>600</v>
      </c>
      <c r="B65" s="306" t="s">
        <v>590</v>
      </c>
    </row>
    <row r="66" spans="1:2" x14ac:dyDescent="0.35">
      <c r="A66" s="306" t="s">
        <v>601</v>
      </c>
      <c r="B66" s="306" t="s">
        <v>532</v>
      </c>
    </row>
    <row r="67" spans="1:2" x14ac:dyDescent="0.35">
      <c r="A67" s="306" t="s">
        <v>602</v>
      </c>
      <c r="B67" s="306" t="s">
        <v>603</v>
      </c>
    </row>
    <row r="68" spans="1:2" x14ac:dyDescent="0.35">
      <c r="A68" s="306" t="s">
        <v>604</v>
      </c>
      <c r="B68" s="306" t="s">
        <v>532</v>
      </c>
    </row>
    <row r="69" spans="1:2" x14ac:dyDescent="0.35">
      <c r="A69" s="306" t="s">
        <v>605</v>
      </c>
      <c r="B69" s="306" t="s">
        <v>532</v>
      </c>
    </row>
    <row r="70" spans="1:2" x14ac:dyDescent="0.35">
      <c r="A70" s="306" t="s">
        <v>606</v>
      </c>
      <c r="B70" s="306" t="s">
        <v>607</v>
      </c>
    </row>
    <row r="71" spans="1:2" x14ac:dyDescent="0.35">
      <c r="A71" s="306" t="s">
        <v>608</v>
      </c>
      <c r="B71" s="306" t="s">
        <v>532</v>
      </c>
    </row>
    <row r="72" spans="1:2" x14ac:dyDescent="0.35">
      <c r="A72" s="306" t="s">
        <v>609</v>
      </c>
      <c r="B72" s="306" t="s">
        <v>610</v>
      </c>
    </row>
    <row r="73" spans="1:2" x14ac:dyDescent="0.35">
      <c r="A73" s="306" t="s">
        <v>611</v>
      </c>
      <c r="B73" s="306" t="s">
        <v>612</v>
      </c>
    </row>
    <row r="74" spans="1:2" x14ac:dyDescent="0.35">
      <c r="A74" s="306" t="s">
        <v>613</v>
      </c>
      <c r="B74" s="306" t="s">
        <v>614</v>
      </c>
    </row>
    <row r="75" spans="1:2" x14ac:dyDescent="0.35">
      <c r="A75" s="306" t="s">
        <v>615</v>
      </c>
      <c r="B75" s="306" t="s">
        <v>616</v>
      </c>
    </row>
    <row r="76" spans="1:2" x14ac:dyDescent="0.35">
      <c r="A76" s="306" t="s">
        <v>617</v>
      </c>
      <c r="B76" s="306" t="s">
        <v>587</v>
      </c>
    </row>
    <row r="77" spans="1:2" x14ac:dyDescent="0.35">
      <c r="A77" s="306" t="s">
        <v>618</v>
      </c>
      <c r="B77" s="306" t="s">
        <v>587</v>
      </c>
    </row>
    <row r="78" spans="1:2" x14ac:dyDescent="0.35">
      <c r="A78" s="306" t="s">
        <v>619</v>
      </c>
      <c r="B78" s="306" t="s">
        <v>587</v>
      </c>
    </row>
    <row r="79" spans="1:2" x14ac:dyDescent="0.35">
      <c r="A79" s="306" t="s">
        <v>620</v>
      </c>
      <c r="B79" s="306" t="s">
        <v>587</v>
      </c>
    </row>
    <row r="80" spans="1:2" x14ac:dyDescent="0.35">
      <c r="A80" s="306" t="s">
        <v>621</v>
      </c>
      <c r="B80" s="306" t="s">
        <v>532</v>
      </c>
    </row>
    <row r="81" spans="1:2" x14ac:dyDescent="0.35">
      <c r="A81" s="306" t="s">
        <v>622</v>
      </c>
      <c r="B81" s="306" t="s">
        <v>623</v>
      </c>
    </row>
    <row r="82" spans="1:2" x14ac:dyDescent="0.35">
      <c r="A82" s="306" t="s">
        <v>624</v>
      </c>
      <c r="B82" s="306" t="s">
        <v>625</v>
      </c>
    </row>
    <row r="83" spans="1:2" x14ac:dyDescent="0.35">
      <c r="A83" s="306" t="s">
        <v>626</v>
      </c>
      <c r="B83" s="306" t="s">
        <v>532</v>
      </c>
    </row>
    <row r="84" spans="1:2" x14ac:dyDescent="0.35">
      <c r="A84" s="306" t="s">
        <v>627</v>
      </c>
      <c r="B84" s="306" t="s">
        <v>575</v>
      </c>
    </row>
    <row r="85" spans="1:2" x14ac:dyDescent="0.35">
      <c r="A85" s="306" t="s">
        <v>628</v>
      </c>
      <c r="B85" s="306" t="s">
        <v>579</v>
      </c>
    </row>
    <row r="86" spans="1:2" x14ac:dyDescent="0.35">
      <c r="A86" s="306" t="s">
        <v>629</v>
      </c>
      <c r="B86" s="306" t="s">
        <v>537</v>
      </c>
    </row>
    <row r="87" spans="1:2" x14ac:dyDescent="0.35">
      <c r="A87" s="306" t="s">
        <v>630</v>
      </c>
      <c r="B87" s="306" t="s">
        <v>537</v>
      </c>
    </row>
    <row r="88" spans="1:2" x14ac:dyDescent="0.35">
      <c r="A88" s="306" t="s">
        <v>631</v>
      </c>
      <c r="B88" s="306" t="s">
        <v>632</v>
      </c>
    </row>
    <row r="89" spans="1:2" x14ac:dyDescent="0.35">
      <c r="A89" s="306" t="s">
        <v>633</v>
      </c>
      <c r="B89" s="306" t="s">
        <v>532</v>
      </c>
    </row>
    <row r="90" spans="1:2" x14ac:dyDescent="0.35">
      <c r="A90" s="306" t="s">
        <v>634</v>
      </c>
      <c r="B90" s="306" t="s">
        <v>616</v>
      </c>
    </row>
    <row r="91" spans="1:2" x14ac:dyDescent="0.35">
      <c r="A91" s="306" t="s">
        <v>635</v>
      </c>
      <c r="B91" s="306" t="s">
        <v>587</v>
      </c>
    </row>
    <row r="92" spans="1:2" x14ac:dyDescent="0.35">
      <c r="A92" s="306" t="s">
        <v>636</v>
      </c>
      <c r="B92" s="306" t="s">
        <v>637</v>
      </c>
    </row>
    <row r="93" spans="1:2" x14ac:dyDescent="0.35">
      <c r="A93" s="306" t="s">
        <v>638</v>
      </c>
      <c r="B93" s="306" t="s">
        <v>532</v>
      </c>
    </row>
    <row r="94" spans="1:2" x14ac:dyDescent="0.35">
      <c r="A94" s="306" t="s">
        <v>639</v>
      </c>
      <c r="B94" s="306" t="s">
        <v>640</v>
      </c>
    </row>
    <row r="95" spans="1:2" x14ac:dyDescent="0.35">
      <c r="A95" s="306" t="s">
        <v>641</v>
      </c>
      <c r="B95" s="306" t="s">
        <v>640</v>
      </c>
    </row>
    <row r="96" spans="1:2" x14ac:dyDescent="0.35">
      <c r="A96" s="306" t="s">
        <v>642</v>
      </c>
      <c r="B96" s="306" t="s">
        <v>643</v>
      </c>
    </row>
    <row r="97" spans="1:2" x14ac:dyDescent="0.35">
      <c r="A97" s="306" t="s">
        <v>644</v>
      </c>
      <c r="B97" s="306" t="s">
        <v>623</v>
      </c>
    </row>
    <row r="98" spans="1:2" x14ac:dyDescent="0.35">
      <c r="A98" s="306" t="s">
        <v>645</v>
      </c>
      <c r="B98" s="306" t="s">
        <v>646</v>
      </c>
    </row>
    <row r="99" spans="1:2" x14ac:dyDescent="0.35">
      <c r="A99" s="306" t="s">
        <v>647</v>
      </c>
      <c r="B99" s="306" t="s">
        <v>648</v>
      </c>
    </row>
    <row r="100" spans="1:2" x14ac:dyDescent="0.35">
      <c r="A100" s="306" t="s">
        <v>649</v>
      </c>
      <c r="B100" s="306" t="s">
        <v>637</v>
      </c>
    </row>
    <row r="101" spans="1:2" x14ac:dyDescent="0.35">
      <c r="A101" s="306" t="s">
        <v>650</v>
      </c>
      <c r="B101" s="306" t="s">
        <v>637</v>
      </c>
    </row>
    <row r="102" spans="1:2" x14ac:dyDescent="0.35">
      <c r="A102" s="306" t="s">
        <v>651</v>
      </c>
      <c r="B102" s="306" t="s">
        <v>532</v>
      </c>
    </row>
    <row r="103" spans="1:2" x14ac:dyDescent="0.35">
      <c r="A103" s="306" t="s">
        <v>652</v>
      </c>
      <c r="B103" s="306" t="s">
        <v>528</v>
      </c>
    </row>
    <row r="104" spans="1:2" x14ac:dyDescent="0.35">
      <c r="A104" s="306" t="s">
        <v>653</v>
      </c>
      <c r="B104" s="306" t="s">
        <v>528</v>
      </c>
    </row>
    <row r="105" spans="1:2" x14ac:dyDescent="0.35">
      <c r="A105" s="306" t="s">
        <v>654</v>
      </c>
      <c r="B105" s="306" t="s">
        <v>655</v>
      </c>
    </row>
    <row r="106" spans="1:2" x14ac:dyDescent="0.35">
      <c r="A106" s="306" t="s">
        <v>656</v>
      </c>
      <c r="B106" s="306" t="s">
        <v>532</v>
      </c>
    </row>
    <row r="107" spans="1:2" x14ac:dyDescent="0.35">
      <c r="A107" s="306" t="s">
        <v>657</v>
      </c>
      <c r="B107" s="306" t="s">
        <v>532</v>
      </c>
    </row>
    <row r="108" spans="1:2" x14ac:dyDescent="0.35">
      <c r="A108" s="306" t="s">
        <v>658</v>
      </c>
      <c r="B108" s="306" t="s">
        <v>659</v>
      </c>
    </row>
    <row r="109" spans="1:2" x14ac:dyDescent="0.35">
      <c r="A109" s="306" t="s">
        <v>660</v>
      </c>
      <c r="B109" s="306" t="s">
        <v>625</v>
      </c>
    </row>
    <row r="110" spans="1:2" x14ac:dyDescent="0.35">
      <c r="A110" s="306" t="s">
        <v>661</v>
      </c>
      <c r="B110" s="306" t="s">
        <v>532</v>
      </c>
    </row>
    <row r="111" spans="1:2" x14ac:dyDescent="0.35">
      <c r="A111" s="306" t="s">
        <v>662</v>
      </c>
      <c r="B111" s="306" t="s">
        <v>663</v>
      </c>
    </row>
    <row r="112" spans="1:2" x14ac:dyDescent="0.35">
      <c r="A112" s="306" t="s">
        <v>664</v>
      </c>
      <c r="B112" s="306" t="s">
        <v>665</v>
      </c>
    </row>
    <row r="113" spans="1:2" x14ac:dyDescent="0.35">
      <c r="A113" s="306" t="s">
        <v>666</v>
      </c>
      <c r="B113" s="306" t="s">
        <v>667</v>
      </c>
    </row>
    <row r="114" spans="1:2" x14ac:dyDescent="0.35">
      <c r="A114" s="306" t="s">
        <v>668</v>
      </c>
      <c r="B114" s="306" t="s">
        <v>532</v>
      </c>
    </row>
    <row r="115" spans="1:2" x14ac:dyDescent="0.35">
      <c r="A115" s="306" t="s">
        <v>669</v>
      </c>
      <c r="B115" s="306" t="s">
        <v>670</v>
      </c>
    </row>
    <row r="116" spans="1:2" x14ac:dyDescent="0.35">
      <c r="A116" s="306" t="s">
        <v>671</v>
      </c>
      <c r="B116" s="306" t="s">
        <v>532</v>
      </c>
    </row>
    <row r="117" spans="1:2" x14ac:dyDescent="0.35">
      <c r="A117" s="306" t="s">
        <v>672</v>
      </c>
      <c r="B117" s="306" t="s">
        <v>673</v>
      </c>
    </row>
    <row r="118" spans="1:2" x14ac:dyDescent="0.35">
      <c r="A118" s="306" t="s">
        <v>674</v>
      </c>
      <c r="B118" s="306" t="s">
        <v>675</v>
      </c>
    </row>
    <row r="119" spans="1:2" x14ac:dyDescent="0.35">
      <c r="A119" s="306" t="s">
        <v>676</v>
      </c>
      <c r="B119" s="306" t="s">
        <v>675</v>
      </c>
    </row>
    <row r="120" spans="1:2" x14ac:dyDescent="0.35">
      <c r="A120" s="306" t="s">
        <v>677</v>
      </c>
      <c r="B120" s="306" t="s">
        <v>537</v>
      </c>
    </row>
    <row r="121" spans="1:2" x14ac:dyDescent="0.35">
      <c r="A121" s="306" t="s">
        <v>678</v>
      </c>
      <c r="B121" s="306" t="s">
        <v>532</v>
      </c>
    </row>
    <row r="122" spans="1:2" x14ac:dyDescent="0.35">
      <c r="A122" s="306" t="s">
        <v>679</v>
      </c>
      <c r="B122" s="306" t="s">
        <v>532</v>
      </c>
    </row>
    <row r="123" spans="1:2" x14ac:dyDescent="0.35">
      <c r="A123" s="306" t="s">
        <v>680</v>
      </c>
      <c r="B123" s="306" t="s">
        <v>532</v>
      </c>
    </row>
    <row r="124" spans="1:2" x14ac:dyDescent="0.35">
      <c r="A124" s="306" t="s">
        <v>681</v>
      </c>
      <c r="B124" s="306" t="s">
        <v>532</v>
      </c>
    </row>
    <row r="125" spans="1:2" x14ac:dyDescent="0.35">
      <c r="A125" s="306" t="s">
        <v>682</v>
      </c>
      <c r="B125" s="306" t="s">
        <v>683</v>
      </c>
    </row>
    <row r="126" spans="1:2" x14ac:dyDescent="0.35">
      <c r="A126" s="306" t="s">
        <v>684</v>
      </c>
      <c r="B126" s="306" t="s">
        <v>685</v>
      </c>
    </row>
    <row r="127" spans="1:2" x14ac:dyDescent="0.35">
      <c r="A127" s="306" t="s">
        <v>686</v>
      </c>
      <c r="B127" s="306" t="s">
        <v>587</v>
      </c>
    </row>
    <row r="128" spans="1:2" x14ac:dyDescent="0.35">
      <c r="A128" s="306" t="s">
        <v>687</v>
      </c>
      <c r="B128" s="306" t="s">
        <v>532</v>
      </c>
    </row>
    <row r="129" spans="1:2" x14ac:dyDescent="0.35">
      <c r="A129" s="306" t="s">
        <v>688</v>
      </c>
      <c r="B129" s="306" t="s">
        <v>610</v>
      </c>
    </row>
    <row r="130" spans="1:2" x14ac:dyDescent="0.35">
      <c r="A130" s="306" t="s">
        <v>689</v>
      </c>
      <c r="B130" s="306" t="s">
        <v>577</v>
      </c>
    </row>
    <row r="131" spans="1:2" x14ac:dyDescent="0.35">
      <c r="A131" s="306" t="s">
        <v>690</v>
      </c>
      <c r="B131" s="306" t="s">
        <v>532</v>
      </c>
    </row>
    <row r="132" spans="1:2" x14ac:dyDescent="0.35">
      <c r="A132" s="306" t="s">
        <v>691</v>
      </c>
      <c r="B132" s="306" t="s">
        <v>532</v>
      </c>
    </row>
    <row r="133" spans="1:2" x14ac:dyDescent="0.35">
      <c r="A133" s="306" t="s">
        <v>692</v>
      </c>
      <c r="B133" s="306" t="s">
        <v>532</v>
      </c>
    </row>
    <row r="134" spans="1:2" x14ac:dyDescent="0.35">
      <c r="A134" s="306" t="s">
        <v>693</v>
      </c>
      <c r="B134" s="306" t="s">
        <v>532</v>
      </c>
    </row>
    <row r="135" spans="1:2" x14ac:dyDescent="0.35">
      <c r="A135" s="306" t="s">
        <v>694</v>
      </c>
      <c r="B135" s="306" t="s">
        <v>532</v>
      </c>
    </row>
    <row r="136" spans="1:2" x14ac:dyDescent="0.35">
      <c r="A136" s="306" t="s">
        <v>695</v>
      </c>
      <c r="B136" s="306" t="s">
        <v>587</v>
      </c>
    </row>
    <row r="137" spans="1:2" x14ac:dyDescent="0.35">
      <c r="A137" s="306" t="s">
        <v>696</v>
      </c>
      <c r="B137" s="306" t="s">
        <v>697</v>
      </c>
    </row>
    <row r="138" spans="1:2" x14ac:dyDescent="0.35">
      <c r="A138" s="306" t="s">
        <v>698</v>
      </c>
      <c r="B138" s="306" t="s">
        <v>699</v>
      </c>
    </row>
    <row r="139" spans="1:2" x14ac:dyDescent="0.35">
      <c r="A139" s="306" t="s">
        <v>700</v>
      </c>
      <c r="B139" s="306" t="s">
        <v>701</v>
      </c>
    </row>
    <row r="140" spans="1:2" x14ac:dyDescent="0.35">
      <c r="A140" s="306" t="s">
        <v>702</v>
      </c>
      <c r="B140" s="306" t="s">
        <v>532</v>
      </c>
    </row>
    <row r="141" spans="1:2" x14ac:dyDescent="0.35">
      <c r="A141" s="306" t="s">
        <v>703</v>
      </c>
      <c r="B141" s="306" t="s">
        <v>532</v>
      </c>
    </row>
    <row r="142" spans="1:2" x14ac:dyDescent="0.35">
      <c r="A142" s="306" t="s">
        <v>704</v>
      </c>
      <c r="B142" s="306" t="s">
        <v>616</v>
      </c>
    </row>
    <row r="143" spans="1:2" x14ac:dyDescent="0.35">
      <c r="A143" s="306" t="s">
        <v>705</v>
      </c>
      <c r="B143" s="306" t="s">
        <v>616</v>
      </c>
    </row>
    <row r="144" spans="1:2" x14ac:dyDescent="0.35">
      <c r="A144" s="306" t="s">
        <v>706</v>
      </c>
      <c r="B144" s="306" t="s">
        <v>616</v>
      </c>
    </row>
    <row r="145" spans="1:2" x14ac:dyDescent="0.35">
      <c r="A145" s="306" t="s">
        <v>707</v>
      </c>
      <c r="B145" s="306" t="s">
        <v>616</v>
      </c>
    </row>
    <row r="146" spans="1:2" x14ac:dyDescent="0.35">
      <c r="A146" s="306" t="s">
        <v>708</v>
      </c>
      <c r="B146" s="306" t="s">
        <v>675</v>
      </c>
    </row>
    <row r="147" spans="1:2" x14ac:dyDescent="0.35">
      <c r="A147" s="306" t="s">
        <v>709</v>
      </c>
      <c r="B147" s="306" t="s">
        <v>710</v>
      </c>
    </row>
    <row r="148" spans="1:2" x14ac:dyDescent="0.35">
      <c r="A148" s="306" t="s">
        <v>711</v>
      </c>
      <c r="B148" s="306" t="s">
        <v>532</v>
      </c>
    </row>
    <row r="149" spans="1:2" x14ac:dyDescent="0.35">
      <c r="A149" s="306" t="s">
        <v>712</v>
      </c>
      <c r="B149" s="306" t="s">
        <v>532</v>
      </c>
    </row>
    <row r="150" spans="1:2" x14ac:dyDescent="0.35">
      <c r="A150" s="306" t="s">
        <v>713</v>
      </c>
      <c r="B150" s="306" t="s">
        <v>532</v>
      </c>
    </row>
    <row r="151" spans="1:2" x14ac:dyDescent="0.35">
      <c r="A151" s="306" t="s">
        <v>714</v>
      </c>
      <c r="B151" s="306" t="s">
        <v>572</v>
      </c>
    </row>
    <row r="152" spans="1:2" x14ac:dyDescent="0.35">
      <c r="A152" s="306" t="s">
        <v>715</v>
      </c>
      <c r="B152" s="306" t="s">
        <v>572</v>
      </c>
    </row>
    <row r="153" spans="1:2" x14ac:dyDescent="0.35">
      <c r="A153" s="306" t="s">
        <v>716</v>
      </c>
      <c r="B153" s="306" t="s">
        <v>717</v>
      </c>
    </row>
    <row r="154" spans="1:2" x14ac:dyDescent="0.35">
      <c r="A154" s="306" t="s">
        <v>718</v>
      </c>
      <c r="B154" s="306" t="s">
        <v>637</v>
      </c>
    </row>
    <row r="155" spans="1:2" x14ac:dyDescent="0.35">
      <c r="A155" s="306" t="s">
        <v>719</v>
      </c>
      <c r="B155" s="306" t="s">
        <v>637</v>
      </c>
    </row>
    <row r="156" spans="1:2" x14ac:dyDescent="0.35">
      <c r="A156" s="306" t="s">
        <v>720</v>
      </c>
      <c r="B156" s="306" t="s">
        <v>625</v>
      </c>
    </row>
    <row r="157" spans="1:2" x14ac:dyDescent="0.35">
      <c r="A157" s="306" t="s">
        <v>721</v>
      </c>
      <c r="B157" s="306" t="s">
        <v>532</v>
      </c>
    </row>
    <row r="158" spans="1:2" x14ac:dyDescent="0.35">
      <c r="A158" s="306" t="s">
        <v>722</v>
      </c>
      <c r="B158" s="306" t="s">
        <v>532</v>
      </c>
    </row>
    <row r="159" spans="1:2" x14ac:dyDescent="0.35">
      <c r="A159" s="306" t="s">
        <v>723</v>
      </c>
      <c r="B159" s="306" t="s">
        <v>532</v>
      </c>
    </row>
    <row r="160" spans="1:2" x14ac:dyDescent="0.35">
      <c r="A160" s="306" t="s">
        <v>724</v>
      </c>
      <c r="B160" s="306" t="s">
        <v>532</v>
      </c>
    </row>
    <row r="161" spans="1:2" x14ac:dyDescent="0.35">
      <c r="A161" s="306" t="s">
        <v>725</v>
      </c>
      <c r="B161" s="306" t="s">
        <v>579</v>
      </c>
    </row>
    <row r="162" spans="1:2" x14ac:dyDescent="0.35">
      <c r="A162" s="306" t="s">
        <v>726</v>
      </c>
      <c r="B162" s="306" t="s">
        <v>532</v>
      </c>
    </row>
    <row r="163" spans="1:2" x14ac:dyDescent="0.35">
      <c r="A163" s="306" t="s">
        <v>727</v>
      </c>
      <c r="B163" s="306" t="s">
        <v>728</v>
      </c>
    </row>
    <row r="164" spans="1:2" x14ac:dyDescent="0.35">
      <c r="A164" s="306" t="s">
        <v>729</v>
      </c>
      <c r="B164" s="306" t="s">
        <v>728</v>
      </c>
    </row>
    <row r="165" spans="1:2" x14ac:dyDescent="0.35">
      <c r="A165" s="306" t="s">
        <v>730</v>
      </c>
      <c r="B165" s="306" t="s">
        <v>532</v>
      </c>
    </row>
    <row r="166" spans="1:2" x14ac:dyDescent="0.35">
      <c r="A166" s="306" t="s">
        <v>731</v>
      </c>
      <c r="B166" s="306" t="s">
        <v>526</v>
      </c>
    </row>
    <row r="167" spans="1:2" x14ac:dyDescent="0.35">
      <c r="A167" s="306" t="s">
        <v>732</v>
      </c>
      <c r="B167" s="306" t="s">
        <v>590</v>
      </c>
    </row>
    <row r="168" spans="1:2" x14ac:dyDescent="0.35">
      <c r="A168" s="306" t="s">
        <v>733</v>
      </c>
      <c r="B168" s="306" t="s">
        <v>734</v>
      </c>
    </row>
    <row r="169" spans="1:2" x14ac:dyDescent="0.35">
      <c r="A169" s="306" t="s">
        <v>735</v>
      </c>
      <c r="B169" s="306" t="s">
        <v>736</v>
      </c>
    </row>
    <row r="170" spans="1:2" x14ac:dyDescent="0.35">
      <c r="A170" s="306" t="s">
        <v>737</v>
      </c>
      <c r="B170" s="306" t="s">
        <v>532</v>
      </c>
    </row>
    <row r="171" spans="1:2" x14ac:dyDescent="0.35">
      <c r="A171" s="306" t="s">
        <v>738</v>
      </c>
      <c r="B171" s="306" t="s">
        <v>739</v>
      </c>
    </row>
    <row r="172" spans="1:2" x14ac:dyDescent="0.35">
      <c r="A172" s="306" t="s">
        <v>740</v>
      </c>
      <c r="B172" s="306" t="s">
        <v>532</v>
      </c>
    </row>
    <row r="173" spans="1:2" x14ac:dyDescent="0.35">
      <c r="A173" s="306" t="s">
        <v>741</v>
      </c>
      <c r="B173" s="306" t="s">
        <v>532</v>
      </c>
    </row>
    <row r="174" spans="1:2" x14ac:dyDescent="0.35">
      <c r="A174" s="306" t="s">
        <v>742</v>
      </c>
      <c r="B174" s="306" t="s">
        <v>743</v>
      </c>
    </row>
    <row r="175" spans="1:2" x14ac:dyDescent="0.35">
      <c r="A175" s="306" t="s">
        <v>744</v>
      </c>
      <c r="B175" s="306" t="s">
        <v>745</v>
      </c>
    </row>
    <row r="176" spans="1:2" x14ac:dyDescent="0.35">
      <c r="A176" s="306" t="s">
        <v>746</v>
      </c>
      <c r="B176" s="306" t="s">
        <v>747</v>
      </c>
    </row>
    <row r="177" spans="1:2" x14ac:dyDescent="0.35">
      <c r="A177" s="306" t="s">
        <v>748</v>
      </c>
      <c r="B177" s="306" t="s">
        <v>532</v>
      </c>
    </row>
    <row r="178" spans="1:2" x14ac:dyDescent="0.35">
      <c r="A178" s="306" t="s">
        <v>749</v>
      </c>
      <c r="B178" s="306" t="s">
        <v>750</v>
      </c>
    </row>
    <row r="179" spans="1:2" x14ac:dyDescent="0.35">
      <c r="A179" s="306" t="s">
        <v>751</v>
      </c>
      <c r="B179" s="306" t="s">
        <v>750</v>
      </c>
    </row>
    <row r="180" spans="1:2" x14ac:dyDescent="0.35">
      <c r="A180" s="306" t="s">
        <v>752</v>
      </c>
      <c r="B180" s="306" t="s">
        <v>750</v>
      </c>
    </row>
    <row r="181" spans="1:2" x14ac:dyDescent="0.35">
      <c r="A181" s="306" t="s">
        <v>753</v>
      </c>
      <c r="B181" s="306" t="s">
        <v>750</v>
      </c>
    </row>
    <row r="182" spans="1:2" x14ac:dyDescent="0.35">
      <c r="A182" s="306" t="s">
        <v>754</v>
      </c>
      <c r="B182" s="306" t="s">
        <v>532</v>
      </c>
    </row>
    <row r="183" spans="1:2" x14ac:dyDescent="0.35">
      <c r="A183" s="306" t="s">
        <v>755</v>
      </c>
      <c r="B183" s="306" t="s">
        <v>750</v>
      </c>
    </row>
    <row r="184" spans="1:2" x14ac:dyDescent="0.35">
      <c r="A184" s="306" t="s">
        <v>756</v>
      </c>
      <c r="B184" s="306" t="s">
        <v>757</v>
      </c>
    </row>
    <row r="185" spans="1:2" x14ac:dyDescent="0.35">
      <c r="A185" s="306" t="s">
        <v>758</v>
      </c>
      <c r="B185" s="306" t="s">
        <v>532</v>
      </c>
    </row>
    <row r="186" spans="1:2" x14ac:dyDescent="0.35">
      <c r="A186" s="306" t="s">
        <v>759</v>
      </c>
      <c r="B186" s="306" t="s">
        <v>760</v>
      </c>
    </row>
    <row r="187" spans="1:2" x14ac:dyDescent="0.35">
      <c r="A187" s="306" t="s">
        <v>761</v>
      </c>
      <c r="B187" s="306" t="s">
        <v>532</v>
      </c>
    </row>
    <row r="188" spans="1:2" x14ac:dyDescent="0.35">
      <c r="A188" s="306" t="s">
        <v>762</v>
      </c>
      <c r="B188" s="306" t="s">
        <v>534</v>
      </c>
    </row>
    <row r="189" spans="1:2" x14ac:dyDescent="0.35">
      <c r="A189" s="306" t="s">
        <v>763</v>
      </c>
      <c r="B189" s="306" t="s">
        <v>532</v>
      </c>
    </row>
    <row r="190" spans="1:2" x14ac:dyDescent="0.35">
      <c r="A190" s="306" t="s">
        <v>764</v>
      </c>
      <c r="B190" s="306" t="s">
        <v>765</v>
      </c>
    </row>
    <row r="191" spans="1:2" x14ac:dyDescent="0.35">
      <c r="A191" s="306" t="s">
        <v>766</v>
      </c>
      <c r="B191" s="306" t="s">
        <v>532</v>
      </c>
    </row>
    <row r="192" spans="1:2" x14ac:dyDescent="0.35">
      <c r="A192" s="306" t="s">
        <v>767</v>
      </c>
      <c r="B192" s="306" t="s">
        <v>765</v>
      </c>
    </row>
    <row r="193" spans="1:2" x14ac:dyDescent="0.35">
      <c r="A193" s="306" t="s">
        <v>768</v>
      </c>
      <c r="B193" s="306" t="s">
        <v>532</v>
      </c>
    </row>
    <row r="194" spans="1:2" x14ac:dyDescent="0.35">
      <c r="A194" s="306" t="s">
        <v>769</v>
      </c>
      <c r="B194" s="306" t="s">
        <v>526</v>
      </c>
    </row>
    <row r="195" spans="1:2" x14ac:dyDescent="0.35">
      <c r="A195" s="306" t="s">
        <v>770</v>
      </c>
      <c r="B195" s="306" t="s">
        <v>526</v>
      </c>
    </row>
    <row r="196" spans="1:2" x14ac:dyDescent="0.35">
      <c r="A196" s="306" t="s">
        <v>771</v>
      </c>
      <c r="B196" s="306" t="s">
        <v>772</v>
      </c>
    </row>
    <row r="197" spans="1:2" x14ac:dyDescent="0.35">
      <c r="A197" s="306" t="s">
        <v>773</v>
      </c>
      <c r="B197" s="306" t="s">
        <v>774</v>
      </c>
    </row>
    <row r="198" spans="1:2" x14ac:dyDescent="0.35">
      <c r="A198" s="306" t="s">
        <v>775</v>
      </c>
      <c r="B198" s="306" t="s">
        <v>776</v>
      </c>
    </row>
    <row r="199" spans="1:2" x14ac:dyDescent="0.35">
      <c r="A199" s="306" t="s">
        <v>777</v>
      </c>
      <c r="B199" s="306" t="s">
        <v>778</v>
      </c>
    </row>
    <row r="200" spans="1:2" x14ac:dyDescent="0.35">
      <c r="A200" s="306" t="s">
        <v>779</v>
      </c>
      <c r="B200" s="306" t="s">
        <v>590</v>
      </c>
    </row>
    <row r="201" spans="1:2" x14ac:dyDescent="0.35">
      <c r="A201" s="306" t="s">
        <v>780</v>
      </c>
      <c r="B201" s="306" t="s">
        <v>781</v>
      </c>
    </row>
    <row r="202" spans="1:2" x14ac:dyDescent="0.35">
      <c r="A202" s="306" t="s">
        <v>782</v>
      </c>
      <c r="B202" s="306" t="s">
        <v>781</v>
      </c>
    </row>
    <row r="203" spans="1:2" x14ac:dyDescent="0.35">
      <c r="A203" s="306" t="s">
        <v>783</v>
      </c>
      <c r="B203" s="306" t="s">
        <v>743</v>
      </c>
    </row>
    <row r="204" spans="1:2" x14ac:dyDescent="0.35">
      <c r="A204" s="306" t="s">
        <v>784</v>
      </c>
      <c r="B204" s="306" t="s">
        <v>785</v>
      </c>
    </row>
    <row r="205" spans="1:2" x14ac:dyDescent="0.35">
      <c r="A205" s="306" t="s">
        <v>786</v>
      </c>
      <c r="B205" s="306" t="s">
        <v>787</v>
      </c>
    </row>
    <row r="206" spans="1:2" x14ac:dyDescent="0.35">
      <c r="A206" s="306" t="s">
        <v>788</v>
      </c>
      <c r="B206" s="306" t="s">
        <v>785</v>
      </c>
    </row>
    <row r="207" spans="1:2" x14ac:dyDescent="0.35">
      <c r="A207" s="306" t="s">
        <v>789</v>
      </c>
      <c r="B207" s="306" t="s">
        <v>743</v>
      </c>
    </row>
    <row r="208" spans="1:2" x14ac:dyDescent="0.35">
      <c r="A208" s="306" t="s">
        <v>790</v>
      </c>
      <c r="B208" s="306" t="s">
        <v>757</v>
      </c>
    </row>
    <row r="209" spans="1:2" x14ac:dyDescent="0.35">
      <c r="A209" s="306" t="s">
        <v>791</v>
      </c>
      <c r="B209" s="306" t="s">
        <v>792</v>
      </c>
    </row>
    <row r="210" spans="1:2" x14ac:dyDescent="0.35">
      <c r="A210" s="306" t="s">
        <v>793</v>
      </c>
      <c r="B210" s="306" t="s">
        <v>699</v>
      </c>
    </row>
    <row r="211" spans="1:2" x14ac:dyDescent="0.35">
      <c r="A211" s="306" t="s">
        <v>794</v>
      </c>
      <c r="B211" s="306" t="s">
        <v>537</v>
      </c>
    </row>
    <row r="212" spans="1:2" x14ac:dyDescent="0.35">
      <c r="A212" s="306" t="s">
        <v>795</v>
      </c>
      <c r="B212" s="306" t="s">
        <v>796</v>
      </c>
    </row>
    <row r="213" spans="1:2" x14ac:dyDescent="0.35">
      <c r="A213" s="306" t="s">
        <v>797</v>
      </c>
      <c r="B213" s="306" t="s">
        <v>646</v>
      </c>
    </row>
    <row r="214" spans="1:2" x14ac:dyDescent="0.35">
      <c r="A214" s="306" t="s">
        <v>798</v>
      </c>
      <c r="B214" s="306" t="s">
        <v>701</v>
      </c>
    </row>
    <row r="215" spans="1:2" x14ac:dyDescent="0.35">
      <c r="A215" s="306" t="s">
        <v>799</v>
      </c>
      <c r="B215" s="306" t="s">
        <v>800</v>
      </c>
    </row>
    <row r="216" spans="1:2" x14ac:dyDescent="0.35">
      <c r="A216" s="306" t="s">
        <v>801</v>
      </c>
      <c r="B216" s="306" t="s">
        <v>532</v>
      </c>
    </row>
    <row r="217" spans="1:2" x14ac:dyDescent="0.35">
      <c r="A217" s="306" t="s">
        <v>802</v>
      </c>
      <c r="B217" s="306" t="s">
        <v>750</v>
      </c>
    </row>
    <row r="218" spans="1:2" x14ac:dyDescent="0.35">
      <c r="A218" s="306" t="s">
        <v>803</v>
      </c>
      <c r="B218" s="306" t="s">
        <v>532</v>
      </c>
    </row>
    <row r="219" spans="1:2" x14ac:dyDescent="0.35">
      <c r="A219" s="306" t="s">
        <v>804</v>
      </c>
      <c r="B219" s="306" t="s">
        <v>532</v>
      </c>
    </row>
    <row r="220" spans="1:2" x14ac:dyDescent="0.35">
      <c r="A220" s="306" t="s">
        <v>805</v>
      </c>
      <c r="B220" s="306" t="s">
        <v>532</v>
      </c>
    </row>
    <row r="221" spans="1:2" x14ac:dyDescent="0.35">
      <c r="A221" s="306" t="s">
        <v>806</v>
      </c>
      <c r="B221" s="306" t="s">
        <v>807</v>
      </c>
    </row>
    <row r="222" spans="1:2" x14ac:dyDescent="0.35">
      <c r="A222" s="306" t="s">
        <v>808</v>
      </c>
      <c r="B222" s="306" t="s">
        <v>587</v>
      </c>
    </row>
    <row r="223" spans="1:2" x14ac:dyDescent="0.35">
      <c r="A223" s="306" t="s">
        <v>809</v>
      </c>
      <c r="B223" s="306" t="s">
        <v>607</v>
      </c>
    </row>
    <row r="224" spans="1:2" x14ac:dyDescent="0.35">
      <c r="A224" s="306" t="s">
        <v>810</v>
      </c>
      <c r="B224" s="306" t="s">
        <v>532</v>
      </c>
    </row>
    <row r="225" spans="1:2" x14ac:dyDescent="0.35">
      <c r="A225" s="306" t="s">
        <v>811</v>
      </c>
      <c r="B225" s="306" t="s">
        <v>532</v>
      </c>
    </row>
    <row r="226" spans="1:2" x14ac:dyDescent="0.35">
      <c r="A226" s="306" t="s">
        <v>812</v>
      </c>
      <c r="B226" s="306" t="s">
        <v>813</v>
      </c>
    </row>
    <row r="227" spans="1:2" x14ac:dyDescent="0.35">
      <c r="A227" s="306" t="s">
        <v>814</v>
      </c>
      <c r="B227" s="306" t="s">
        <v>815</v>
      </c>
    </row>
    <row r="228" spans="1:2" x14ac:dyDescent="0.35">
      <c r="A228" s="306" t="s">
        <v>816</v>
      </c>
      <c r="B228" s="306" t="s">
        <v>532</v>
      </c>
    </row>
    <row r="229" spans="1:2" x14ac:dyDescent="0.35">
      <c r="A229" s="306" t="s">
        <v>817</v>
      </c>
      <c r="B229" s="306" t="s">
        <v>750</v>
      </c>
    </row>
    <row r="230" spans="1:2" x14ac:dyDescent="0.35">
      <c r="A230" s="306" t="s">
        <v>818</v>
      </c>
      <c r="B230" s="306" t="s">
        <v>587</v>
      </c>
    </row>
    <row r="231" spans="1:2" x14ac:dyDescent="0.35">
      <c r="A231" s="306" t="s">
        <v>819</v>
      </c>
      <c r="B231" s="306" t="s">
        <v>543</v>
      </c>
    </row>
    <row r="232" spans="1:2" x14ac:dyDescent="0.35">
      <c r="A232" s="306" t="s">
        <v>820</v>
      </c>
      <c r="B232" s="306" t="s">
        <v>821</v>
      </c>
    </row>
    <row r="233" spans="1:2" x14ac:dyDescent="0.35">
      <c r="A233" s="306" t="s">
        <v>822</v>
      </c>
      <c r="B233" s="306" t="s">
        <v>540</v>
      </c>
    </row>
    <row r="234" spans="1:2" x14ac:dyDescent="0.35">
      <c r="A234" s="306" t="s">
        <v>823</v>
      </c>
      <c r="B234" s="306" t="s">
        <v>540</v>
      </c>
    </row>
    <row r="235" spans="1:2" x14ac:dyDescent="0.35">
      <c r="A235" s="306" t="s">
        <v>824</v>
      </c>
      <c r="B235" s="306" t="s">
        <v>540</v>
      </c>
    </row>
    <row r="236" spans="1:2" x14ac:dyDescent="0.35">
      <c r="A236" s="306" t="s">
        <v>825</v>
      </c>
      <c r="B236" s="306" t="s">
        <v>540</v>
      </c>
    </row>
    <row r="237" spans="1:2" x14ac:dyDescent="0.35">
      <c r="A237" s="306" t="s">
        <v>826</v>
      </c>
      <c r="B237" s="306" t="s">
        <v>540</v>
      </c>
    </row>
    <row r="238" spans="1:2" x14ac:dyDescent="0.35">
      <c r="A238" s="306" t="s">
        <v>827</v>
      </c>
      <c r="B238" s="306" t="s">
        <v>540</v>
      </c>
    </row>
    <row r="239" spans="1:2" x14ac:dyDescent="0.35">
      <c r="A239" s="306" t="s">
        <v>828</v>
      </c>
      <c r="B239" s="306" t="s">
        <v>532</v>
      </c>
    </row>
    <row r="240" spans="1:2" x14ac:dyDescent="0.35">
      <c r="A240" s="306" t="s">
        <v>829</v>
      </c>
      <c r="B240" s="306" t="s">
        <v>532</v>
      </c>
    </row>
    <row r="241" spans="1:2" x14ac:dyDescent="0.35">
      <c r="A241" s="306" t="s">
        <v>830</v>
      </c>
      <c r="B241" s="306" t="s">
        <v>831</v>
      </c>
    </row>
    <row r="242" spans="1:2" x14ac:dyDescent="0.35">
      <c r="A242" s="306" t="s">
        <v>832</v>
      </c>
      <c r="B242" s="306" t="s">
        <v>625</v>
      </c>
    </row>
    <row r="243" spans="1:2" x14ac:dyDescent="0.35">
      <c r="A243" s="306" t="s">
        <v>833</v>
      </c>
      <c r="B243" s="306" t="s">
        <v>625</v>
      </c>
    </row>
    <row r="244" spans="1:2" x14ac:dyDescent="0.35">
      <c r="A244" s="306" t="s">
        <v>834</v>
      </c>
      <c r="B244" s="306" t="s">
        <v>835</v>
      </c>
    </row>
    <row r="245" spans="1:2" x14ac:dyDescent="0.35">
      <c r="A245" s="306" t="s">
        <v>836</v>
      </c>
      <c r="B245" s="306" t="s">
        <v>532</v>
      </c>
    </row>
    <row r="246" spans="1:2" x14ac:dyDescent="0.35">
      <c r="A246" s="306" t="s">
        <v>837</v>
      </c>
      <c r="B246" s="306" t="s">
        <v>663</v>
      </c>
    </row>
    <row r="247" spans="1:2" x14ac:dyDescent="0.35">
      <c r="A247" s="306" t="s">
        <v>838</v>
      </c>
      <c r="B247" s="306" t="s">
        <v>663</v>
      </c>
    </row>
    <row r="248" spans="1:2" x14ac:dyDescent="0.35">
      <c r="A248" s="306" t="s">
        <v>839</v>
      </c>
      <c r="B248" s="306" t="s">
        <v>537</v>
      </c>
    </row>
    <row r="249" spans="1:2" x14ac:dyDescent="0.35">
      <c r="A249" s="306" t="s">
        <v>840</v>
      </c>
      <c r="B249" s="306" t="s">
        <v>537</v>
      </c>
    </row>
    <row r="250" spans="1:2" x14ac:dyDescent="0.35">
      <c r="A250" s="306" t="s">
        <v>841</v>
      </c>
      <c r="B250" s="306" t="s">
        <v>537</v>
      </c>
    </row>
    <row r="251" spans="1:2" x14ac:dyDescent="0.35">
      <c r="A251" s="306" t="s">
        <v>842</v>
      </c>
      <c r="B251" s="306" t="s">
        <v>537</v>
      </c>
    </row>
    <row r="252" spans="1:2" x14ac:dyDescent="0.35">
      <c r="A252" s="306" t="s">
        <v>843</v>
      </c>
      <c r="B252" s="306" t="s">
        <v>532</v>
      </c>
    </row>
    <row r="253" spans="1:2" x14ac:dyDescent="0.35">
      <c r="A253" s="306" t="s">
        <v>844</v>
      </c>
      <c r="B253" s="306" t="s">
        <v>616</v>
      </c>
    </row>
    <row r="254" spans="1:2" x14ac:dyDescent="0.35">
      <c r="A254" s="306" t="s">
        <v>845</v>
      </c>
      <c r="B254" s="306" t="s">
        <v>846</v>
      </c>
    </row>
    <row r="255" spans="1:2" x14ac:dyDescent="0.35">
      <c r="A255" s="306" t="s">
        <v>847</v>
      </c>
      <c r="B255" s="306" t="s">
        <v>616</v>
      </c>
    </row>
    <row r="256" spans="1:2" x14ac:dyDescent="0.35">
      <c r="A256" s="306" t="s">
        <v>848</v>
      </c>
      <c r="B256" s="306" t="s">
        <v>846</v>
      </c>
    </row>
    <row r="257" spans="1:2" x14ac:dyDescent="0.35">
      <c r="A257" s="306" t="s">
        <v>849</v>
      </c>
      <c r="B257" s="306" t="s">
        <v>532</v>
      </c>
    </row>
    <row r="258" spans="1:2" x14ac:dyDescent="0.35">
      <c r="A258" s="306" t="s">
        <v>850</v>
      </c>
      <c r="B258" s="306" t="s">
        <v>625</v>
      </c>
    </row>
    <row r="259" spans="1:2" x14ac:dyDescent="0.35">
      <c r="A259" s="306" t="s">
        <v>851</v>
      </c>
      <c r="B259" s="306" t="s">
        <v>577</v>
      </c>
    </row>
    <row r="260" spans="1:2" x14ac:dyDescent="0.35">
      <c r="A260" s="306" t="s">
        <v>852</v>
      </c>
      <c r="B260" s="306" t="s">
        <v>532</v>
      </c>
    </row>
    <row r="261" spans="1:2" x14ac:dyDescent="0.35">
      <c r="A261" s="306" t="s">
        <v>853</v>
      </c>
      <c r="B261" s="306" t="s">
        <v>532</v>
      </c>
    </row>
    <row r="262" spans="1:2" x14ac:dyDescent="0.35">
      <c r="A262" s="306" t="s">
        <v>854</v>
      </c>
      <c r="B262" s="306" t="s">
        <v>632</v>
      </c>
    </row>
    <row r="263" spans="1:2" x14ac:dyDescent="0.35">
      <c r="A263" s="306" t="s">
        <v>855</v>
      </c>
      <c r="B263" s="306" t="s">
        <v>532</v>
      </c>
    </row>
    <row r="264" spans="1:2" x14ac:dyDescent="0.35">
      <c r="A264" s="306" t="s">
        <v>856</v>
      </c>
      <c r="B264" s="306" t="s">
        <v>857</v>
      </c>
    </row>
    <row r="265" spans="1:2" x14ac:dyDescent="0.35">
      <c r="A265" s="306" t="s">
        <v>858</v>
      </c>
      <c r="B265" s="306" t="s">
        <v>859</v>
      </c>
    </row>
    <row r="266" spans="1:2" x14ac:dyDescent="0.35">
      <c r="A266" s="306" t="s">
        <v>860</v>
      </c>
      <c r="B266" s="306" t="s">
        <v>532</v>
      </c>
    </row>
    <row r="267" spans="1:2" x14ac:dyDescent="0.35">
      <c r="A267" s="306" t="s">
        <v>861</v>
      </c>
      <c r="B267" s="306" t="s">
        <v>532</v>
      </c>
    </row>
    <row r="268" spans="1:2" x14ac:dyDescent="0.35">
      <c r="A268" s="306" t="s">
        <v>862</v>
      </c>
      <c r="B268" s="306" t="s">
        <v>532</v>
      </c>
    </row>
    <row r="269" spans="1:2" x14ac:dyDescent="0.35">
      <c r="A269" s="306" t="s">
        <v>863</v>
      </c>
      <c r="B269" s="306" t="s">
        <v>532</v>
      </c>
    </row>
    <row r="270" spans="1:2" x14ac:dyDescent="0.35">
      <c r="A270" s="306" t="s">
        <v>864</v>
      </c>
      <c r="B270" s="306" t="s">
        <v>532</v>
      </c>
    </row>
    <row r="271" spans="1:2" x14ac:dyDescent="0.35">
      <c r="A271" s="306" t="s">
        <v>865</v>
      </c>
      <c r="B271" s="306" t="s">
        <v>866</v>
      </c>
    </row>
    <row r="272" spans="1:2" x14ac:dyDescent="0.35">
      <c r="A272" s="306" t="s">
        <v>867</v>
      </c>
      <c r="B272" s="306" t="s">
        <v>868</v>
      </c>
    </row>
    <row r="273" spans="1:2" x14ac:dyDescent="0.35">
      <c r="A273" s="306" t="s">
        <v>869</v>
      </c>
      <c r="B273" s="306" t="s">
        <v>532</v>
      </c>
    </row>
    <row r="274" spans="1:2" x14ac:dyDescent="0.35">
      <c r="A274" s="306" t="s">
        <v>870</v>
      </c>
      <c r="B274" s="306" t="s">
        <v>807</v>
      </c>
    </row>
    <row r="275" spans="1:2" x14ac:dyDescent="0.35">
      <c r="A275" s="306" t="s">
        <v>871</v>
      </c>
      <c r="B275" s="306" t="s">
        <v>807</v>
      </c>
    </row>
    <row r="276" spans="1:2" x14ac:dyDescent="0.35">
      <c r="A276" s="306" t="s">
        <v>872</v>
      </c>
      <c r="B276" s="306" t="s">
        <v>807</v>
      </c>
    </row>
    <row r="277" spans="1:2" x14ac:dyDescent="0.35">
      <c r="A277" s="306" t="s">
        <v>873</v>
      </c>
      <c r="B277" s="306" t="s">
        <v>874</v>
      </c>
    </row>
    <row r="278" spans="1:2" x14ac:dyDescent="0.35">
      <c r="A278" s="306" t="s">
        <v>875</v>
      </c>
      <c r="B278" s="306" t="s">
        <v>807</v>
      </c>
    </row>
    <row r="279" spans="1:2" x14ac:dyDescent="0.35">
      <c r="A279" s="306" t="s">
        <v>876</v>
      </c>
      <c r="B279" s="306" t="s">
        <v>874</v>
      </c>
    </row>
    <row r="280" spans="1:2" x14ac:dyDescent="0.35">
      <c r="A280" s="306" t="s">
        <v>877</v>
      </c>
      <c r="B280" s="306" t="s">
        <v>878</v>
      </c>
    </row>
    <row r="281" spans="1:2" x14ac:dyDescent="0.35">
      <c r="A281" s="306" t="s">
        <v>879</v>
      </c>
      <c r="B281" s="306" t="s">
        <v>880</v>
      </c>
    </row>
    <row r="282" spans="1:2" x14ac:dyDescent="0.35">
      <c r="A282" s="306" t="s">
        <v>881</v>
      </c>
      <c r="B282" s="306" t="s">
        <v>787</v>
      </c>
    </row>
    <row r="283" spans="1:2" x14ac:dyDescent="0.35">
      <c r="A283" s="306" t="s">
        <v>882</v>
      </c>
      <c r="B283" s="306" t="s">
        <v>883</v>
      </c>
    </row>
    <row r="284" spans="1:2" x14ac:dyDescent="0.35">
      <c r="A284" s="306" t="s">
        <v>884</v>
      </c>
      <c r="B284" s="306" t="s">
        <v>685</v>
      </c>
    </row>
    <row r="285" spans="1:2" x14ac:dyDescent="0.35">
      <c r="A285" s="306" t="s">
        <v>885</v>
      </c>
      <c r="B285" s="306" t="s">
        <v>532</v>
      </c>
    </row>
    <row r="286" spans="1:2" x14ac:dyDescent="0.35">
      <c r="A286" s="306" t="s">
        <v>886</v>
      </c>
      <c r="B286" s="306" t="s">
        <v>532</v>
      </c>
    </row>
    <row r="287" spans="1:2" x14ac:dyDescent="0.35">
      <c r="A287" s="306" t="s">
        <v>887</v>
      </c>
      <c r="B287" s="306" t="s">
        <v>532</v>
      </c>
    </row>
    <row r="288" spans="1:2" x14ac:dyDescent="0.35">
      <c r="A288" s="306" t="s">
        <v>888</v>
      </c>
      <c r="B288" s="306" t="s">
        <v>548</v>
      </c>
    </row>
    <row r="289" spans="1:2" x14ac:dyDescent="0.35">
      <c r="A289" s="306" t="s">
        <v>889</v>
      </c>
      <c r="B289" s="306" t="s">
        <v>585</v>
      </c>
    </row>
    <row r="290" spans="1:2" x14ac:dyDescent="0.35">
      <c r="A290" s="306" t="s">
        <v>890</v>
      </c>
      <c r="B290" s="306" t="s">
        <v>623</v>
      </c>
    </row>
    <row r="291" spans="1:2" x14ac:dyDescent="0.35">
      <c r="A291" s="306" t="s">
        <v>891</v>
      </c>
      <c r="B291" s="306" t="s">
        <v>532</v>
      </c>
    </row>
    <row r="292" spans="1:2" x14ac:dyDescent="0.35">
      <c r="A292" s="306" t="s">
        <v>892</v>
      </c>
      <c r="B292" s="306" t="s">
        <v>532</v>
      </c>
    </row>
    <row r="293" spans="1:2" x14ac:dyDescent="0.35">
      <c r="A293" s="306" t="s">
        <v>893</v>
      </c>
      <c r="B293" s="306" t="s">
        <v>532</v>
      </c>
    </row>
    <row r="294" spans="1:2" x14ac:dyDescent="0.35">
      <c r="A294" s="306" t="s">
        <v>894</v>
      </c>
      <c r="B294" s="306" t="s">
        <v>807</v>
      </c>
    </row>
    <row r="295" spans="1:2" x14ac:dyDescent="0.35">
      <c r="A295" s="306" t="s">
        <v>895</v>
      </c>
      <c r="B295" s="306" t="s">
        <v>896</v>
      </c>
    </row>
    <row r="296" spans="1:2" x14ac:dyDescent="0.35">
      <c r="A296" s="306" t="s">
        <v>897</v>
      </c>
      <c r="B296" s="306" t="s">
        <v>898</v>
      </c>
    </row>
    <row r="297" spans="1:2" x14ac:dyDescent="0.35">
      <c r="A297" s="306" t="s">
        <v>899</v>
      </c>
      <c r="B297" s="306" t="s">
        <v>898</v>
      </c>
    </row>
    <row r="298" spans="1:2" x14ac:dyDescent="0.35">
      <c r="A298" s="306" t="s">
        <v>900</v>
      </c>
      <c r="B298" s="306" t="s">
        <v>901</v>
      </c>
    </row>
    <row r="299" spans="1:2" x14ac:dyDescent="0.35">
      <c r="A299" s="306" t="s">
        <v>902</v>
      </c>
      <c r="B299" s="306" t="s">
        <v>616</v>
      </c>
    </row>
    <row r="300" spans="1:2" x14ac:dyDescent="0.35">
      <c r="A300" s="306" t="s">
        <v>903</v>
      </c>
      <c r="B300" s="306" t="s">
        <v>728</v>
      </c>
    </row>
    <row r="301" spans="1:2" x14ac:dyDescent="0.35">
      <c r="A301" s="306" t="s">
        <v>904</v>
      </c>
      <c r="B301" s="306" t="s">
        <v>905</v>
      </c>
    </row>
    <row r="302" spans="1:2" x14ac:dyDescent="0.35">
      <c r="A302" s="306" t="s">
        <v>906</v>
      </c>
      <c r="B302" s="306" t="s">
        <v>907</v>
      </c>
    </row>
    <row r="303" spans="1:2" x14ac:dyDescent="0.35">
      <c r="A303" s="306" t="s">
        <v>908</v>
      </c>
      <c r="B303" s="306" t="s">
        <v>909</v>
      </c>
    </row>
    <row r="304" spans="1:2" x14ac:dyDescent="0.35">
      <c r="A304" s="306" t="s">
        <v>910</v>
      </c>
      <c r="B304" s="306" t="s">
        <v>532</v>
      </c>
    </row>
    <row r="305" spans="1:2" x14ac:dyDescent="0.35">
      <c r="A305" s="306" t="s">
        <v>911</v>
      </c>
      <c r="B305" s="306" t="s">
        <v>590</v>
      </c>
    </row>
    <row r="306" spans="1:2" x14ac:dyDescent="0.35">
      <c r="A306" s="306" t="s">
        <v>912</v>
      </c>
      <c r="B306" s="306" t="s">
        <v>590</v>
      </c>
    </row>
    <row r="307" spans="1:2" x14ac:dyDescent="0.35">
      <c r="A307" s="306" t="s">
        <v>913</v>
      </c>
      <c r="B307" s="306" t="s">
        <v>526</v>
      </c>
    </row>
    <row r="308" spans="1:2" x14ac:dyDescent="0.35">
      <c r="A308" s="306" t="s">
        <v>914</v>
      </c>
      <c r="B308" s="306" t="s">
        <v>590</v>
      </c>
    </row>
    <row r="309" spans="1:2" x14ac:dyDescent="0.35">
      <c r="A309" s="306" t="s">
        <v>915</v>
      </c>
      <c r="B309" s="306" t="s">
        <v>757</v>
      </c>
    </row>
    <row r="310" spans="1:2" x14ac:dyDescent="0.35">
      <c r="A310" s="306" t="s">
        <v>916</v>
      </c>
      <c r="B310" s="306" t="s">
        <v>532</v>
      </c>
    </row>
    <row r="311" spans="1:2" x14ac:dyDescent="0.35">
      <c r="A311" s="306" t="s">
        <v>917</v>
      </c>
      <c r="B311" s="306" t="s">
        <v>587</v>
      </c>
    </row>
    <row r="312" spans="1:2" x14ac:dyDescent="0.35">
      <c r="A312" s="306" t="s">
        <v>918</v>
      </c>
      <c r="B312" s="306" t="s">
        <v>532</v>
      </c>
    </row>
    <row r="313" spans="1:2" x14ac:dyDescent="0.35">
      <c r="A313" s="306" t="s">
        <v>919</v>
      </c>
      <c r="B313" s="306" t="s">
        <v>532</v>
      </c>
    </row>
    <row r="314" spans="1:2" x14ac:dyDescent="0.35">
      <c r="A314" s="306" t="s">
        <v>920</v>
      </c>
      <c r="B314" s="306" t="s">
        <v>532</v>
      </c>
    </row>
    <row r="315" spans="1:2" x14ac:dyDescent="0.35">
      <c r="A315" s="306" t="s">
        <v>921</v>
      </c>
      <c r="B315" s="306" t="s">
        <v>922</v>
      </c>
    </row>
    <row r="316" spans="1:2" x14ac:dyDescent="0.35">
      <c r="A316" s="306" t="s">
        <v>923</v>
      </c>
      <c r="B316" s="306" t="s">
        <v>874</v>
      </c>
    </row>
    <row r="317" spans="1:2" x14ac:dyDescent="0.35">
      <c r="A317" s="306" t="s">
        <v>924</v>
      </c>
      <c r="B317" s="306" t="s">
        <v>925</v>
      </c>
    </row>
    <row r="318" spans="1:2" x14ac:dyDescent="0.35">
      <c r="A318" s="306" t="s">
        <v>926</v>
      </c>
      <c r="B318" s="306" t="s">
        <v>532</v>
      </c>
    </row>
    <row r="319" spans="1:2" x14ac:dyDescent="0.35">
      <c r="A319" s="306" t="s">
        <v>927</v>
      </c>
      <c r="B319" s="306" t="s">
        <v>537</v>
      </c>
    </row>
    <row r="320" spans="1:2" x14ac:dyDescent="0.35">
      <c r="A320" s="306" t="s">
        <v>928</v>
      </c>
      <c r="B320" s="306" t="s">
        <v>537</v>
      </c>
    </row>
    <row r="321" spans="1:2" x14ac:dyDescent="0.35">
      <c r="A321" s="306" t="s">
        <v>929</v>
      </c>
      <c r="B321" s="306" t="s">
        <v>537</v>
      </c>
    </row>
    <row r="322" spans="1:2" x14ac:dyDescent="0.35">
      <c r="A322" s="306" t="s">
        <v>930</v>
      </c>
      <c r="B322" s="306" t="s">
        <v>616</v>
      </c>
    </row>
    <row r="323" spans="1:2" x14ac:dyDescent="0.35">
      <c r="A323" s="306" t="s">
        <v>931</v>
      </c>
      <c r="B323" s="306" t="s">
        <v>532</v>
      </c>
    </row>
    <row r="324" spans="1:2" x14ac:dyDescent="0.35">
      <c r="A324" s="306" t="s">
        <v>932</v>
      </c>
      <c r="B324" s="306" t="s">
        <v>925</v>
      </c>
    </row>
    <row r="325" spans="1:2" x14ac:dyDescent="0.35">
      <c r="A325" s="306" t="s">
        <v>933</v>
      </c>
      <c r="B325" s="306" t="s">
        <v>934</v>
      </c>
    </row>
    <row r="326" spans="1:2" x14ac:dyDescent="0.35">
      <c r="A326" s="306" t="s">
        <v>935</v>
      </c>
      <c r="B326" s="306" t="s">
        <v>934</v>
      </c>
    </row>
    <row r="327" spans="1:2" x14ac:dyDescent="0.35">
      <c r="A327" s="306" t="s">
        <v>936</v>
      </c>
      <c r="B327" s="306" t="s">
        <v>937</v>
      </c>
    </row>
    <row r="328" spans="1:2" x14ac:dyDescent="0.35">
      <c r="A328" s="306" t="s">
        <v>938</v>
      </c>
      <c r="B328" s="306" t="s">
        <v>577</v>
      </c>
    </row>
    <row r="329" spans="1:2" x14ac:dyDescent="0.35">
      <c r="A329" s="306" t="s">
        <v>939</v>
      </c>
      <c r="B329" s="306" t="s">
        <v>940</v>
      </c>
    </row>
    <row r="330" spans="1:2" x14ac:dyDescent="0.35">
      <c r="A330" s="306" t="s">
        <v>941</v>
      </c>
      <c r="B330" s="306" t="s">
        <v>940</v>
      </c>
    </row>
    <row r="331" spans="1:2" x14ac:dyDescent="0.35">
      <c r="A331" s="306" t="s">
        <v>942</v>
      </c>
      <c r="B331" s="306" t="s">
        <v>663</v>
      </c>
    </row>
    <row r="332" spans="1:2" x14ac:dyDescent="0.35">
      <c r="A332" s="306" t="s">
        <v>943</v>
      </c>
      <c r="B332" s="306" t="s">
        <v>944</v>
      </c>
    </row>
    <row r="333" spans="1:2" x14ac:dyDescent="0.35">
      <c r="A333" s="306" t="s">
        <v>945</v>
      </c>
      <c r="B333" s="306" t="s">
        <v>946</v>
      </c>
    </row>
    <row r="334" spans="1:2" x14ac:dyDescent="0.35">
      <c r="A334" s="306" t="s">
        <v>947</v>
      </c>
      <c r="B334" s="306" t="s">
        <v>532</v>
      </c>
    </row>
    <row r="335" spans="1:2" x14ac:dyDescent="0.35">
      <c r="A335" s="306" t="s">
        <v>948</v>
      </c>
      <c r="B335" s="306" t="s">
        <v>532</v>
      </c>
    </row>
    <row r="336" spans="1:2" x14ac:dyDescent="0.35">
      <c r="A336" s="306" t="s">
        <v>949</v>
      </c>
      <c r="B336" s="306" t="s">
        <v>623</v>
      </c>
    </row>
    <row r="337" spans="1:2" x14ac:dyDescent="0.35">
      <c r="A337" s="306" t="s">
        <v>950</v>
      </c>
      <c r="B337" s="306" t="s">
        <v>579</v>
      </c>
    </row>
    <row r="338" spans="1:2" x14ac:dyDescent="0.35">
      <c r="A338" s="306" t="s">
        <v>951</v>
      </c>
      <c r="B338" s="306" t="s">
        <v>595</v>
      </c>
    </row>
    <row r="339" spans="1:2" x14ac:dyDescent="0.35">
      <c r="A339" s="306" t="s">
        <v>952</v>
      </c>
      <c r="B339" s="306" t="s">
        <v>532</v>
      </c>
    </row>
    <row r="340" spans="1:2" x14ac:dyDescent="0.35">
      <c r="A340" s="306" t="s">
        <v>953</v>
      </c>
      <c r="B340" s="306" t="s">
        <v>532</v>
      </c>
    </row>
    <row r="341" spans="1:2" x14ac:dyDescent="0.35">
      <c r="A341" s="306" t="s">
        <v>954</v>
      </c>
      <c r="B341" s="306" t="s">
        <v>532</v>
      </c>
    </row>
    <row r="342" spans="1:2" x14ac:dyDescent="0.35">
      <c r="A342" s="306" t="s">
        <v>955</v>
      </c>
      <c r="B342" s="306" t="s">
        <v>532</v>
      </c>
    </row>
    <row r="343" spans="1:2" x14ac:dyDescent="0.35">
      <c r="A343" s="306" t="s">
        <v>956</v>
      </c>
      <c r="B343" s="306" t="s">
        <v>532</v>
      </c>
    </row>
    <row r="344" spans="1:2" x14ac:dyDescent="0.35">
      <c r="A344" s="306" t="s">
        <v>957</v>
      </c>
      <c r="B344" s="306" t="s">
        <v>532</v>
      </c>
    </row>
    <row r="345" spans="1:2" x14ac:dyDescent="0.35">
      <c r="A345" s="306" t="s">
        <v>958</v>
      </c>
      <c r="B345" s="306" t="s">
        <v>532</v>
      </c>
    </row>
    <row r="346" spans="1:2" x14ac:dyDescent="0.35">
      <c r="A346" s="306" t="s">
        <v>959</v>
      </c>
      <c r="B346" s="306" t="s">
        <v>960</v>
      </c>
    </row>
    <row r="347" spans="1:2" x14ac:dyDescent="0.35">
      <c r="A347" s="306" t="s">
        <v>961</v>
      </c>
      <c r="B347" s="306" t="s">
        <v>587</v>
      </c>
    </row>
    <row r="348" spans="1:2" x14ac:dyDescent="0.35">
      <c r="A348" s="306" t="s">
        <v>962</v>
      </c>
      <c r="B348" s="306" t="s">
        <v>534</v>
      </c>
    </row>
    <row r="349" spans="1:2" x14ac:dyDescent="0.35">
      <c r="A349" s="306" t="s">
        <v>963</v>
      </c>
      <c r="B349" s="306" t="s">
        <v>964</v>
      </c>
    </row>
    <row r="350" spans="1:2" x14ac:dyDescent="0.35">
      <c r="A350" s="306" t="s">
        <v>965</v>
      </c>
      <c r="B350" s="306" t="s">
        <v>964</v>
      </c>
    </row>
    <row r="351" spans="1:2" x14ac:dyDescent="0.35">
      <c r="A351" s="306" t="s">
        <v>966</v>
      </c>
      <c r="B351" s="306" t="s">
        <v>532</v>
      </c>
    </row>
    <row r="352" spans="1:2" x14ac:dyDescent="0.35">
      <c r="A352" s="306" t="s">
        <v>967</v>
      </c>
      <c r="B352" s="306" t="s">
        <v>968</v>
      </c>
    </row>
    <row r="353" spans="1:2" x14ac:dyDescent="0.35">
      <c r="A353" s="306" t="s">
        <v>969</v>
      </c>
      <c r="B353" s="306" t="s">
        <v>532</v>
      </c>
    </row>
    <row r="354" spans="1:2" x14ac:dyDescent="0.35">
      <c r="A354" s="306" t="s">
        <v>970</v>
      </c>
      <c r="B354" s="306" t="s">
        <v>616</v>
      </c>
    </row>
    <row r="355" spans="1:2" x14ac:dyDescent="0.35">
      <c r="A355" s="306" t="s">
        <v>971</v>
      </c>
      <c r="B355" s="306" t="s">
        <v>807</v>
      </c>
    </row>
    <row r="356" spans="1:2" x14ac:dyDescent="0.35">
      <c r="A356" s="306" t="s">
        <v>972</v>
      </c>
      <c r="B356" s="306" t="s">
        <v>532</v>
      </c>
    </row>
    <row r="357" spans="1:2" x14ac:dyDescent="0.35">
      <c r="A357" s="306" t="s">
        <v>973</v>
      </c>
      <c r="B357" s="306" t="s">
        <v>974</v>
      </c>
    </row>
    <row r="358" spans="1:2" x14ac:dyDescent="0.35">
      <c r="A358" s="306" t="s">
        <v>975</v>
      </c>
      <c r="B358" s="306" t="s">
        <v>675</v>
      </c>
    </row>
    <row r="359" spans="1:2" x14ac:dyDescent="0.35">
      <c r="A359" s="306" t="s">
        <v>976</v>
      </c>
      <c r="B359" s="306" t="s">
        <v>977</v>
      </c>
    </row>
    <row r="360" spans="1:2" x14ac:dyDescent="0.35">
      <c r="A360" s="306" t="s">
        <v>978</v>
      </c>
      <c r="B360" s="306" t="s">
        <v>979</v>
      </c>
    </row>
    <row r="361" spans="1:2" x14ac:dyDescent="0.35">
      <c r="A361" s="306" t="s">
        <v>980</v>
      </c>
      <c r="B361" s="306" t="s">
        <v>745</v>
      </c>
    </row>
    <row r="362" spans="1:2" x14ac:dyDescent="0.35">
      <c r="A362" s="306" t="s">
        <v>981</v>
      </c>
      <c r="B362" s="306" t="s">
        <v>699</v>
      </c>
    </row>
    <row r="363" spans="1:2" x14ac:dyDescent="0.35">
      <c r="A363" s="306" t="s">
        <v>982</v>
      </c>
      <c r="B363" s="306" t="s">
        <v>925</v>
      </c>
    </row>
    <row r="364" spans="1:2" x14ac:dyDescent="0.35">
      <c r="A364" s="306" t="s">
        <v>983</v>
      </c>
      <c r="B364" s="306" t="s">
        <v>590</v>
      </c>
    </row>
    <row r="365" spans="1:2" x14ac:dyDescent="0.35">
      <c r="A365" s="306" t="s">
        <v>984</v>
      </c>
      <c r="B365" s="306" t="s">
        <v>985</v>
      </c>
    </row>
    <row r="366" spans="1:2" x14ac:dyDescent="0.35">
      <c r="A366" s="306" t="s">
        <v>986</v>
      </c>
      <c r="B366" s="306" t="s">
        <v>532</v>
      </c>
    </row>
    <row r="367" spans="1:2" x14ac:dyDescent="0.35">
      <c r="A367" s="306" t="s">
        <v>987</v>
      </c>
      <c r="B367" s="306" t="s">
        <v>646</v>
      </c>
    </row>
    <row r="368" spans="1:2" x14ac:dyDescent="0.35">
      <c r="A368" s="306" t="s">
        <v>988</v>
      </c>
      <c r="B368" s="306" t="s">
        <v>646</v>
      </c>
    </row>
    <row r="369" spans="1:2" x14ac:dyDescent="0.35">
      <c r="A369" s="306" t="s">
        <v>989</v>
      </c>
      <c r="B369" s="306" t="s">
        <v>532</v>
      </c>
    </row>
    <row r="370" spans="1:2" x14ac:dyDescent="0.35">
      <c r="A370" s="306" t="s">
        <v>990</v>
      </c>
      <c r="B370" s="306" t="s">
        <v>587</v>
      </c>
    </row>
    <row r="371" spans="1:2" x14ac:dyDescent="0.35">
      <c r="A371" s="306" t="s">
        <v>991</v>
      </c>
      <c r="B371" s="306" t="s">
        <v>757</v>
      </c>
    </row>
    <row r="372" spans="1:2" x14ac:dyDescent="0.35">
      <c r="A372" s="306" t="s">
        <v>992</v>
      </c>
      <c r="B372" s="306" t="s">
        <v>993</v>
      </c>
    </row>
    <row r="373" spans="1:2" x14ac:dyDescent="0.35">
      <c r="A373" s="306" t="s">
        <v>994</v>
      </c>
      <c r="B373" s="306" t="s">
        <v>807</v>
      </c>
    </row>
    <row r="374" spans="1:2" x14ac:dyDescent="0.35">
      <c r="A374" s="306" t="s">
        <v>995</v>
      </c>
      <c r="B374" s="306" t="s">
        <v>807</v>
      </c>
    </row>
    <row r="375" spans="1:2" x14ac:dyDescent="0.35">
      <c r="A375" s="306" t="s">
        <v>996</v>
      </c>
      <c r="B375" s="306" t="s">
        <v>807</v>
      </c>
    </row>
    <row r="376" spans="1:2" x14ac:dyDescent="0.35">
      <c r="A376" s="306" t="s">
        <v>997</v>
      </c>
      <c r="B376" s="306" t="s">
        <v>998</v>
      </c>
    </row>
    <row r="377" spans="1:2" x14ac:dyDescent="0.35">
      <c r="A377" s="306" t="s">
        <v>999</v>
      </c>
      <c r="B377" s="306" t="s">
        <v>898</v>
      </c>
    </row>
    <row r="378" spans="1:2" x14ac:dyDescent="0.35">
      <c r="A378" s="306" t="s">
        <v>1000</v>
      </c>
      <c r="B378" s="306" t="s">
        <v>1001</v>
      </c>
    </row>
    <row r="379" spans="1:2" x14ac:dyDescent="0.35">
      <c r="A379" s="306" t="s">
        <v>1002</v>
      </c>
      <c r="B379" s="306" t="s">
        <v>946</v>
      </c>
    </row>
    <row r="380" spans="1:2" x14ac:dyDescent="0.35">
      <c r="A380" s="306" t="s">
        <v>1003</v>
      </c>
      <c r="B380" s="306" t="s">
        <v>1004</v>
      </c>
    </row>
    <row r="381" spans="1:2" x14ac:dyDescent="0.35">
      <c r="A381" s="306" t="s">
        <v>1005</v>
      </c>
      <c r="B381" s="306" t="s">
        <v>1006</v>
      </c>
    </row>
    <row r="382" spans="1:2" x14ac:dyDescent="0.35">
      <c r="A382" s="306" t="s">
        <v>1007</v>
      </c>
      <c r="B382" s="306" t="s">
        <v>781</v>
      </c>
    </row>
    <row r="383" spans="1:2" x14ac:dyDescent="0.35">
      <c r="A383" s="306" t="s">
        <v>1008</v>
      </c>
      <c r="B383" s="306" t="s">
        <v>625</v>
      </c>
    </row>
    <row r="384" spans="1:2" x14ac:dyDescent="0.35">
      <c r="A384" s="306" t="s">
        <v>1009</v>
      </c>
      <c r="B384" s="306" t="s">
        <v>579</v>
      </c>
    </row>
    <row r="385" spans="1:2" x14ac:dyDescent="0.35">
      <c r="A385" s="306" t="s">
        <v>1010</v>
      </c>
      <c r="B385" s="306" t="s">
        <v>532</v>
      </c>
    </row>
    <row r="386" spans="1:2" x14ac:dyDescent="0.35">
      <c r="A386" s="306" t="s">
        <v>1011</v>
      </c>
      <c r="B386" s="306" t="s">
        <v>532</v>
      </c>
    </row>
    <row r="387" spans="1:2" x14ac:dyDescent="0.35">
      <c r="A387" s="306" t="s">
        <v>1012</v>
      </c>
      <c r="B387" s="306" t="s">
        <v>1013</v>
      </c>
    </row>
    <row r="388" spans="1:2" x14ac:dyDescent="0.35">
      <c r="A388" s="306" t="s">
        <v>1014</v>
      </c>
      <c r="B388" s="306" t="s">
        <v>757</v>
      </c>
    </row>
    <row r="389" spans="1:2" x14ac:dyDescent="0.35">
      <c r="A389" s="306" t="s">
        <v>1015</v>
      </c>
      <c r="B389" s="306" t="s">
        <v>532</v>
      </c>
    </row>
    <row r="390" spans="1:2" x14ac:dyDescent="0.35">
      <c r="A390" s="306" t="s">
        <v>1016</v>
      </c>
      <c r="B390" s="306" t="s">
        <v>655</v>
      </c>
    </row>
    <row r="391" spans="1:2" x14ac:dyDescent="0.35">
      <c r="A391" s="306" t="s">
        <v>1017</v>
      </c>
      <c r="B391" s="306" t="s">
        <v>1018</v>
      </c>
    </row>
    <row r="392" spans="1:2" x14ac:dyDescent="0.35">
      <c r="A392" s="306" t="s">
        <v>1019</v>
      </c>
      <c r="B392" s="306" t="s">
        <v>532</v>
      </c>
    </row>
    <row r="393" spans="1:2" x14ac:dyDescent="0.35">
      <c r="A393" s="306" t="s">
        <v>1020</v>
      </c>
      <c r="B393" s="306" t="s">
        <v>934</v>
      </c>
    </row>
    <row r="394" spans="1:2" x14ac:dyDescent="0.35">
      <c r="A394" s="306" t="s">
        <v>1021</v>
      </c>
      <c r="B394" s="306" t="s">
        <v>532</v>
      </c>
    </row>
    <row r="395" spans="1:2" x14ac:dyDescent="0.35">
      <c r="A395" s="306" t="s">
        <v>1022</v>
      </c>
      <c r="B395" s="306" t="s">
        <v>623</v>
      </c>
    </row>
    <row r="396" spans="1:2" x14ac:dyDescent="0.35">
      <c r="A396" s="306" t="s">
        <v>1023</v>
      </c>
      <c r="B396" s="306" t="s">
        <v>532</v>
      </c>
    </row>
    <row r="397" spans="1:2" x14ac:dyDescent="0.35">
      <c r="A397" s="306" t="s">
        <v>1024</v>
      </c>
      <c r="B397" s="306" t="s">
        <v>532</v>
      </c>
    </row>
    <row r="398" spans="1:2" x14ac:dyDescent="0.35">
      <c r="A398" s="306" t="s">
        <v>1025</v>
      </c>
      <c r="B398" s="306" t="s">
        <v>623</v>
      </c>
    </row>
    <row r="399" spans="1:2" x14ac:dyDescent="0.35">
      <c r="A399" s="306" t="s">
        <v>1026</v>
      </c>
      <c r="B399" s="306" t="s">
        <v>781</v>
      </c>
    </row>
    <row r="400" spans="1:2" x14ac:dyDescent="0.35">
      <c r="A400" s="306" t="s">
        <v>1027</v>
      </c>
      <c r="B400" s="306" t="s">
        <v>1028</v>
      </c>
    </row>
    <row r="401" spans="1:2" x14ac:dyDescent="0.35">
      <c r="A401" s="306" t="s">
        <v>1029</v>
      </c>
      <c r="B401" s="306" t="s">
        <v>625</v>
      </c>
    </row>
    <row r="402" spans="1:2" x14ac:dyDescent="0.35">
      <c r="A402" s="306" t="s">
        <v>1030</v>
      </c>
      <c r="B402" s="306" t="s">
        <v>1031</v>
      </c>
    </row>
    <row r="403" spans="1:2" x14ac:dyDescent="0.35">
      <c r="A403" s="306" t="s">
        <v>1032</v>
      </c>
      <c r="B403" s="306" t="s">
        <v>625</v>
      </c>
    </row>
    <row r="404" spans="1:2" x14ac:dyDescent="0.35">
      <c r="A404" s="306" t="s">
        <v>1033</v>
      </c>
      <c r="B404" s="306" t="s">
        <v>625</v>
      </c>
    </row>
    <row r="405" spans="1:2" x14ac:dyDescent="0.35">
      <c r="A405" s="306" t="s">
        <v>1034</v>
      </c>
      <c r="B405" s="306" t="s">
        <v>625</v>
      </c>
    </row>
    <row r="406" spans="1:2" x14ac:dyDescent="0.35">
      <c r="A406" s="306" t="s">
        <v>1035</v>
      </c>
      <c r="B406" s="306" t="s">
        <v>625</v>
      </c>
    </row>
    <row r="407" spans="1:2" x14ac:dyDescent="0.35">
      <c r="A407" s="306" t="s">
        <v>1036</v>
      </c>
      <c r="B407" s="306" t="s">
        <v>625</v>
      </c>
    </row>
    <row r="408" spans="1:2" x14ac:dyDescent="0.35">
      <c r="A408" s="306" t="s">
        <v>1037</v>
      </c>
      <c r="B408" s="306" t="s">
        <v>781</v>
      </c>
    </row>
    <row r="409" spans="1:2" x14ac:dyDescent="0.35">
      <c r="A409" s="306" t="s">
        <v>1038</v>
      </c>
      <c r="B409" s="306" t="s">
        <v>1039</v>
      </c>
    </row>
    <row r="410" spans="1:2" x14ac:dyDescent="0.35">
      <c r="A410" s="306" t="s">
        <v>1040</v>
      </c>
      <c r="B410" s="306" t="s">
        <v>1041</v>
      </c>
    </row>
    <row r="411" spans="1:2" x14ac:dyDescent="0.35">
      <c r="A411" s="306" t="s">
        <v>1042</v>
      </c>
      <c r="B411" s="306" t="s">
        <v>532</v>
      </c>
    </row>
    <row r="412" spans="1:2" x14ac:dyDescent="0.35">
      <c r="A412" s="306" t="s">
        <v>1043</v>
      </c>
      <c r="B412" s="306" t="s">
        <v>532</v>
      </c>
    </row>
    <row r="413" spans="1:2" x14ac:dyDescent="0.35">
      <c r="A413" s="306" t="s">
        <v>1044</v>
      </c>
      <c r="B413" s="306" t="s">
        <v>532</v>
      </c>
    </row>
    <row r="414" spans="1:2" x14ac:dyDescent="0.35">
      <c r="A414" s="306" t="s">
        <v>1045</v>
      </c>
      <c r="B414" s="306" t="s">
        <v>532</v>
      </c>
    </row>
    <row r="415" spans="1:2" x14ac:dyDescent="0.35">
      <c r="A415" s="306" t="s">
        <v>1046</v>
      </c>
      <c r="B415" s="306" t="s">
        <v>663</v>
      </c>
    </row>
    <row r="416" spans="1:2" x14ac:dyDescent="0.35">
      <c r="A416" s="306" t="s">
        <v>1047</v>
      </c>
      <c r="B416" s="306" t="s">
        <v>1048</v>
      </c>
    </row>
    <row r="417" spans="1:2" x14ac:dyDescent="0.35">
      <c r="A417" s="306" t="s">
        <v>1049</v>
      </c>
      <c r="B417" s="306" t="s">
        <v>745</v>
      </c>
    </row>
    <row r="418" spans="1:2" x14ac:dyDescent="0.35">
      <c r="A418" s="306" t="s">
        <v>1050</v>
      </c>
      <c r="B418" s="306" t="s">
        <v>1051</v>
      </c>
    </row>
    <row r="419" spans="1:2" x14ac:dyDescent="0.35">
      <c r="A419" s="306" t="s">
        <v>1052</v>
      </c>
      <c r="B419" s="306" t="s">
        <v>1001</v>
      </c>
    </row>
    <row r="420" spans="1:2" x14ac:dyDescent="0.35">
      <c r="A420" s="306" t="s">
        <v>1053</v>
      </c>
      <c r="B420" s="306" t="s">
        <v>532</v>
      </c>
    </row>
    <row r="421" spans="1:2" x14ac:dyDescent="0.35">
      <c r="A421" s="306" t="s">
        <v>1054</v>
      </c>
      <c r="B421" s="306" t="s">
        <v>1055</v>
      </c>
    </row>
    <row r="422" spans="1:2" x14ac:dyDescent="0.35">
      <c r="A422" s="306" t="s">
        <v>1056</v>
      </c>
      <c r="B422" s="306" t="s">
        <v>616</v>
      </c>
    </row>
    <row r="423" spans="1:2" x14ac:dyDescent="0.35">
      <c r="A423" s="306" t="s">
        <v>1057</v>
      </c>
      <c r="B423" s="306" t="s">
        <v>643</v>
      </c>
    </row>
    <row r="424" spans="1:2" x14ac:dyDescent="0.35">
      <c r="A424" s="306" t="s">
        <v>1058</v>
      </c>
      <c r="B424" s="306" t="s">
        <v>815</v>
      </c>
    </row>
    <row r="425" spans="1:2" x14ac:dyDescent="0.35">
      <c r="A425" s="306" t="s">
        <v>1059</v>
      </c>
      <c r="B425" s="306" t="s">
        <v>815</v>
      </c>
    </row>
    <row r="426" spans="1:2" x14ac:dyDescent="0.35">
      <c r="A426" s="306" t="s">
        <v>1060</v>
      </c>
      <c r="B426" s="306" t="s">
        <v>532</v>
      </c>
    </row>
    <row r="427" spans="1:2" x14ac:dyDescent="0.35">
      <c r="A427" s="306" t="s">
        <v>1061</v>
      </c>
      <c r="B427" s="306" t="s">
        <v>532</v>
      </c>
    </row>
    <row r="428" spans="1:2" x14ac:dyDescent="0.35">
      <c r="A428" s="306" t="s">
        <v>1062</v>
      </c>
      <c r="B428" s="306" t="s">
        <v>532</v>
      </c>
    </row>
    <row r="429" spans="1:2" x14ac:dyDescent="0.35">
      <c r="A429" s="306" t="s">
        <v>1063</v>
      </c>
      <c r="B429" s="306" t="s">
        <v>616</v>
      </c>
    </row>
    <row r="430" spans="1:2" x14ac:dyDescent="0.35">
      <c r="A430" s="306" t="s">
        <v>1064</v>
      </c>
      <c r="B430" s="306" t="s">
        <v>883</v>
      </c>
    </row>
    <row r="431" spans="1:2" x14ac:dyDescent="0.35">
      <c r="A431" s="306" t="s">
        <v>1065</v>
      </c>
      <c r="B431" s="306" t="s">
        <v>757</v>
      </c>
    </row>
    <row r="432" spans="1:2" x14ac:dyDescent="0.35">
      <c r="A432" s="306" t="s">
        <v>1066</v>
      </c>
      <c r="B432" s="306" t="s">
        <v>757</v>
      </c>
    </row>
    <row r="433" spans="1:2" x14ac:dyDescent="0.35">
      <c r="A433" s="306" t="s">
        <v>1067</v>
      </c>
      <c r="B433" s="306" t="s">
        <v>757</v>
      </c>
    </row>
    <row r="434" spans="1:2" x14ac:dyDescent="0.35">
      <c r="A434" s="306" t="s">
        <v>1068</v>
      </c>
      <c r="B434" s="306" t="s">
        <v>623</v>
      </c>
    </row>
    <row r="435" spans="1:2" x14ac:dyDescent="0.35">
      <c r="A435" s="306" t="s">
        <v>1069</v>
      </c>
      <c r="B435" s="306" t="s">
        <v>537</v>
      </c>
    </row>
    <row r="436" spans="1:2" x14ac:dyDescent="0.35">
      <c r="A436" s="306" t="s">
        <v>1070</v>
      </c>
      <c r="B436" s="306" t="s">
        <v>537</v>
      </c>
    </row>
    <row r="437" spans="1:2" x14ac:dyDescent="0.35">
      <c r="A437" s="306" t="s">
        <v>1071</v>
      </c>
      <c r="B437" s="306" t="s">
        <v>537</v>
      </c>
    </row>
    <row r="438" spans="1:2" x14ac:dyDescent="0.35">
      <c r="A438" s="306" t="s">
        <v>1072</v>
      </c>
      <c r="B438" s="306" t="s">
        <v>537</v>
      </c>
    </row>
    <row r="439" spans="1:2" x14ac:dyDescent="0.35">
      <c r="A439" s="306" t="s">
        <v>1073</v>
      </c>
      <c r="B439" s="306" t="s">
        <v>701</v>
      </c>
    </row>
    <row r="440" spans="1:2" x14ac:dyDescent="0.35">
      <c r="A440" s="306" t="s">
        <v>1074</v>
      </c>
      <c r="B440" s="306" t="s">
        <v>774</v>
      </c>
    </row>
    <row r="441" spans="1:2" x14ac:dyDescent="0.35">
      <c r="A441" s="306" t="s">
        <v>1075</v>
      </c>
      <c r="B441" s="306" t="s">
        <v>532</v>
      </c>
    </row>
    <row r="442" spans="1:2" x14ac:dyDescent="0.35">
      <c r="A442" s="306" t="s">
        <v>1076</v>
      </c>
      <c r="B442" s="306" t="s">
        <v>944</v>
      </c>
    </row>
    <row r="443" spans="1:2" x14ac:dyDescent="0.35">
      <c r="A443" s="306" t="s">
        <v>1077</v>
      </c>
      <c r="B443" s="306" t="s">
        <v>534</v>
      </c>
    </row>
    <row r="444" spans="1:2" x14ac:dyDescent="0.35">
      <c r="A444" s="306" t="s">
        <v>1078</v>
      </c>
      <c r="B444" s="306" t="s">
        <v>1051</v>
      </c>
    </row>
    <row r="445" spans="1:2" x14ac:dyDescent="0.35">
      <c r="A445" s="306" t="s">
        <v>1079</v>
      </c>
      <c r="B445" s="306" t="s">
        <v>526</v>
      </c>
    </row>
    <row r="446" spans="1:2" x14ac:dyDescent="0.35">
      <c r="A446" s="306" t="s">
        <v>1080</v>
      </c>
      <c r="B446" s="306" t="s">
        <v>587</v>
      </c>
    </row>
    <row r="447" spans="1:2" x14ac:dyDescent="0.35">
      <c r="A447" s="306" t="s">
        <v>1081</v>
      </c>
      <c r="B447" s="306" t="s">
        <v>587</v>
      </c>
    </row>
    <row r="448" spans="1:2" x14ac:dyDescent="0.35">
      <c r="A448" s="306" t="s">
        <v>1082</v>
      </c>
      <c r="B448" s="306" t="s">
        <v>1083</v>
      </c>
    </row>
    <row r="449" spans="1:2" x14ac:dyDescent="0.35">
      <c r="A449" s="306" t="s">
        <v>1084</v>
      </c>
      <c r="B449" s="306" t="s">
        <v>577</v>
      </c>
    </row>
    <row r="450" spans="1:2" x14ac:dyDescent="0.35">
      <c r="A450" s="306" t="s">
        <v>1085</v>
      </c>
      <c r="B450" s="306" t="s">
        <v>532</v>
      </c>
    </row>
    <row r="451" spans="1:2" x14ac:dyDescent="0.35">
      <c r="A451" s="306" t="s">
        <v>1086</v>
      </c>
      <c r="B451" s="306" t="s">
        <v>532</v>
      </c>
    </row>
    <row r="452" spans="1:2" x14ac:dyDescent="0.35">
      <c r="A452" s="306" t="s">
        <v>1087</v>
      </c>
      <c r="B452" s="306" t="s">
        <v>532</v>
      </c>
    </row>
    <row r="453" spans="1:2" x14ac:dyDescent="0.35">
      <c r="A453" s="306" t="s">
        <v>1088</v>
      </c>
      <c r="B453" s="306" t="s">
        <v>532</v>
      </c>
    </row>
    <row r="454" spans="1:2" x14ac:dyDescent="0.35">
      <c r="A454" s="306" t="s">
        <v>1089</v>
      </c>
      <c r="B454" s="306" t="s">
        <v>625</v>
      </c>
    </row>
    <row r="455" spans="1:2" x14ac:dyDescent="0.35">
      <c r="A455" s="306" t="s">
        <v>1090</v>
      </c>
      <c r="B455" s="306" t="s">
        <v>537</v>
      </c>
    </row>
    <row r="456" spans="1:2" x14ac:dyDescent="0.35">
      <c r="A456" s="306" t="s">
        <v>1091</v>
      </c>
      <c r="B456" s="306" t="s">
        <v>537</v>
      </c>
    </row>
    <row r="457" spans="1:2" x14ac:dyDescent="0.35">
      <c r="A457" s="306" t="s">
        <v>1092</v>
      </c>
      <c r="B457" s="306" t="s">
        <v>587</v>
      </c>
    </row>
    <row r="458" spans="1:2" x14ac:dyDescent="0.35">
      <c r="A458" s="306" t="s">
        <v>1093</v>
      </c>
      <c r="B458" s="306" t="s">
        <v>1048</v>
      </c>
    </row>
    <row r="459" spans="1:2" x14ac:dyDescent="0.35">
      <c r="A459" s="306" t="s">
        <v>1094</v>
      </c>
      <c r="B459" s="306" t="s">
        <v>537</v>
      </c>
    </row>
    <row r="460" spans="1:2" x14ac:dyDescent="0.35">
      <c r="A460" s="306" t="s">
        <v>1095</v>
      </c>
      <c r="B460" s="306" t="s">
        <v>537</v>
      </c>
    </row>
    <row r="461" spans="1:2" x14ac:dyDescent="0.35">
      <c r="A461" s="306" t="s">
        <v>1096</v>
      </c>
      <c r="B461" s="306" t="s">
        <v>537</v>
      </c>
    </row>
    <row r="462" spans="1:2" x14ac:dyDescent="0.35">
      <c r="A462" s="306" t="s">
        <v>1097</v>
      </c>
      <c r="B462" s="306" t="s">
        <v>537</v>
      </c>
    </row>
    <row r="463" spans="1:2" x14ac:dyDescent="0.35">
      <c r="A463" s="306" t="s">
        <v>1098</v>
      </c>
      <c r="B463" s="306" t="s">
        <v>537</v>
      </c>
    </row>
    <row r="464" spans="1:2" x14ac:dyDescent="0.35">
      <c r="A464" s="306" t="s">
        <v>1099</v>
      </c>
      <c r="B464" s="306" t="s">
        <v>537</v>
      </c>
    </row>
    <row r="465" spans="1:2" x14ac:dyDescent="0.35">
      <c r="A465" s="306" t="s">
        <v>1100</v>
      </c>
      <c r="B465" s="306" t="s">
        <v>537</v>
      </c>
    </row>
    <row r="466" spans="1:2" x14ac:dyDescent="0.35">
      <c r="A466" s="306" t="s">
        <v>1101</v>
      </c>
      <c r="B466" s="306" t="s">
        <v>537</v>
      </c>
    </row>
    <row r="467" spans="1:2" x14ac:dyDescent="0.35">
      <c r="A467" s="306" t="s">
        <v>1102</v>
      </c>
      <c r="B467" s="306" t="s">
        <v>537</v>
      </c>
    </row>
    <row r="468" spans="1:2" x14ac:dyDescent="0.35">
      <c r="A468" s="306" t="s">
        <v>1103</v>
      </c>
      <c r="B468" s="306" t="s">
        <v>537</v>
      </c>
    </row>
    <row r="469" spans="1:2" x14ac:dyDescent="0.35">
      <c r="A469" s="306" t="s">
        <v>1104</v>
      </c>
      <c r="B469" s="306" t="s">
        <v>532</v>
      </c>
    </row>
    <row r="470" spans="1:2" x14ac:dyDescent="0.35">
      <c r="A470" s="306" t="s">
        <v>1105</v>
      </c>
      <c r="B470" s="306" t="s">
        <v>532</v>
      </c>
    </row>
    <row r="471" spans="1:2" x14ac:dyDescent="0.35">
      <c r="A471" s="306" t="s">
        <v>1106</v>
      </c>
      <c r="B471" s="306" t="s">
        <v>1107</v>
      </c>
    </row>
    <row r="472" spans="1:2" x14ac:dyDescent="0.35">
      <c r="A472" s="306" t="s">
        <v>1108</v>
      </c>
      <c r="B472" s="306" t="s">
        <v>1109</v>
      </c>
    </row>
    <row r="473" spans="1:2" x14ac:dyDescent="0.35">
      <c r="A473" s="306" t="s">
        <v>1110</v>
      </c>
      <c r="B473" s="306" t="s">
        <v>572</v>
      </c>
    </row>
    <row r="474" spans="1:2" x14ac:dyDescent="0.35">
      <c r="A474" s="306" t="s">
        <v>1111</v>
      </c>
      <c r="B474" s="306" t="s">
        <v>625</v>
      </c>
    </row>
    <row r="475" spans="1:2" x14ac:dyDescent="0.35">
      <c r="A475" s="306" t="s">
        <v>1112</v>
      </c>
      <c r="B475" s="306" t="s">
        <v>537</v>
      </c>
    </row>
    <row r="476" spans="1:2" x14ac:dyDescent="0.35">
      <c r="A476" s="306" t="s">
        <v>1113</v>
      </c>
      <c r="B476" s="306" t="s">
        <v>537</v>
      </c>
    </row>
    <row r="477" spans="1:2" x14ac:dyDescent="0.35">
      <c r="A477" s="306" t="s">
        <v>1114</v>
      </c>
      <c r="B477" s="306" t="s">
        <v>537</v>
      </c>
    </row>
    <row r="478" spans="1:2" x14ac:dyDescent="0.35">
      <c r="A478" s="306" t="s">
        <v>1115</v>
      </c>
      <c r="B478" s="306" t="s">
        <v>537</v>
      </c>
    </row>
    <row r="479" spans="1:2" x14ac:dyDescent="0.35">
      <c r="A479" s="306" t="s">
        <v>1116</v>
      </c>
      <c r="B479" s="306" t="s">
        <v>537</v>
      </c>
    </row>
    <row r="480" spans="1:2" x14ac:dyDescent="0.35">
      <c r="A480" s="258" t="s">
        <v>1117</v>
      </c>
      <c r="B480" s="258" t="s">
        <v>537</v>
      </c>
    </row>
    <row r="481" spans="1:2" x14ac:dyDescent="0.35">
      <c r="A481" s="258" t="s">
        <v>1118</v>
      </c>
      <c r="B481" s="258" t="s">
        <v>537</v>
      </c>
    </row>
    <row r="482" spans="1:2" x14ac:dyDescent="0.35">
      <c r="A482" s="258" t="s">
        <v>1119</v>
      </c>
      <c r="B482" s="258" t="s">
        <v>532</v>
      </c>
    </row>
    <row r="483" spans="1:2" x14ac:dyDescent="0.35">
      <c r="A483" s="258" t="s">
        <v>1120</v>
      </c>
      <c r="B483" s="258" t="s">
        <v>612</v>
      </c>
    </row>
    <row r="484" spans="1:2" x14ac:dyDescent="0.35">
      <c r="A484" s="258" t="s">
        <v>1121</v>
      </c>
      <c r="B484" s="258" t="s">
        <v>787</v>
      </c>
    </row>
    <row r="485" spans="1:2" x14ac:dyDescent="0.35">
      <c r="A485" s="258" t="s">
        <v>1122</v>
      </c>
      <c r="B485" s="258" t="s">
        <v>1004</v>
      </c>
    </row>
    <row r="486" spans="1:2" x14ac:dyDescent="0.35">
      <c r="A486" s="258" t="s">
        <v>1123</v>
      </c>
      <c r="B486" s="258" t="s">
        <v>532</v>
      </c>
    </row>
    <row r="487" spans="1:2" x14ac:dyDescent="0.35">
      <c r="A487" s="258" t="s">
        <v>1124</v>
      </c>
      <c r="B487" s="258" t="s">
        <v>537</v>
      </c>
    </row>
    <row r="488" spans="1:2" x14ac:dyDescent="0.35">
      <c r="A488" s="258" t="s">
        <v>1125</v>
      </c>
      <c r="B488" s="258" t="s">
        <v>537</v>
      </c>
    </row>
    <row r="489" spans="1:2" x14ac:dyDescent="0.35">
      <c r="A489" s="258" t="s">
        <v>1126</v>
      </c>
      <c r="B489" s="258" t="s">
        <v>537</v>
      </c>
    </row>
    <row r="490" spans="1:2" x14ac:dyDescent="0.35">
      <c r="A490" s="258" t="s">
        <v>1127</v>
      </c>
      <c r="B490" s="258" t="s">
        <v>537</v>
      </c>
    </row>
    <row r="491" spans="1:2" x14ac:dyDescent="0.35">
      <c r="A491" s="258" t="s">
        <v>1128</v>
      </c>
      <c r="B491" s="258" t="s">
        <v>532</v>
      </c>
    </row>
    <row r="492" spans="1:2" x14ac:dyDescent="0.35">
      <c r="A492" s="258" t="s">
        <v>1129</v>
      </c>
      <c r="B492" s="258" t="s">
        <v>532</v>
      </c>
    </row>
    <row r="493" spans="1:2" x14ac:dyDescent="0.35">
      <c r="A493" s="258" t="s">
        <v>1130</v>
      </c>
      <c r="B493" s="258" t="s">
        <v>587</v>
      </c>
    </row>
    <row r="494" spans="1:2" x14ac:dyDescent="0.35">
      <c r="A494" s="258" t="s">
        <v>1131</v>
      </c>
      <c r="B494" s="258" t="s">
        <v>532</v>
      </c>
    </row>
    <row r="495" spans="1:2" x14ac:dyDescent="0.35">
      <c r="A495" s="258" t="s">
        <v>1132</v>
      </c>
      <c r="B495" s="258" t="s">
        <v>532</v>
      </c>
    </row>
    <row r="496" spans="1:2" x14ac:dyDescent="0.35">
      <c r="A496" s="258" t="s">
        <v>1133</v>
      </c>
      <c r="B496" s="258" t="s">
        <v>532</v>
      </c>
    </row>
    <row r="497" spans="1:2" x14ac:dyDescent="0.35">
      <c r="A497" s="258" t="s">
        <v>1134</v>
      </c>
      <c r="B497" s="258" t="s">
        <v>1135</v>
      </c>
    </row>
    <row r="498" spans="1:2" x14ac:dyDescent="0.35">
      <c r="A498" s="258" t="s">
        <v>1136</v>
      </c>
      <c r="B498" s="258" t="s">
        <v>646</v>
      </c>
    </row>
    <row r="499" spans="1:2" x14ac:dyDescent="0.35">
      <c r="A499" s="258" t="s">
        <v>1137</v>
      </c>
      <c r="B499" s="258" t="s">
        <v>1138</v>
      </c>
    </row>
    <row r="500" spans="1:2" x14ac:dyDescent="0.35">
      <c r="A500" s="258" t="s">
        <v>1139</v>
      </c>
      <c r="B500" s="258" t="s">
        <v>572</v>
      </c>
    </row>
    <row r="501" spans="1:2" x14ac:dyDescent="0.35">
      <c r="A501" s="258" t="s">
        <v>1140</v>
      </c>
      <c r="B501" s="258" t="s">
        <v>1141</v>
      </c>
    </row>
    <row r="502" spans="1:2" x14ac:dyDescent="0.35">
      <c r="A502" s="258" t="s">
        <v>1142</v>
      </c>
      <c r="B502" s="258" t="s">
        <v>532</v>
      </c>
    </row>
    <row r="503" spans="1:2" x14ac:dyDescent="0.35">
      <c r="A503" s="258" t="s">
        <v>1143</v>
      </c>
      <c r="B503" s="258" t="s">
        <v>532</v>
      </c>
    </row>
    <row r="504" spans="1:2" x14ac:dyDescent="0.35">
      <c r="A504" s="258" t="s">
        <v>1144</v>
      </c>
      <c r="B504" s="258" t="s">
        <v>532</v>
      </c>
    </row>
    <row r="505" spans="1:2" x14ac:dyDescent="0.35">
      <c r="A505" s="258" t="s">
        <v>1145</v>
      </c>
      <c r="B505" s="258" t="s">
        <v>532</v>
      </c>
    </row>
    <row r="506" spans="1:2" x14ac:dyDescent="0.35">
      <c r="A506" s="258" t="s">
        <v>1146</v>
      </c>
      <c r="B506" s="258" t="s">
        <v>526</v>
      </c>
    </row>
    <row r="507" spans="1:2" x14ac:dyDescent="0.35">
      <c r="A507" s="258" t="s">
        <v>1147</v>
      </c>
      <c r="B507" s="258" t="s">
        <v>1148</v>
      </c>
    </row>
    <row r="508" spans="1:2" x14ac:dyDescent="0.35">
      <c r="A508" s="258" t="s">
        <v>1149</v>
      </c>
      <c r="B508" s="258" t="s">
        <v>909</v>
      </c>
    </row>
    <row r="509" spans="1:2" x14ac:dyDescent="0.35">
      <c r="A509" s="258" t="s">
        <v>1150</v>
      </c>
      <c r="B509" s="258" t="s">
        <v>537</v>
      </c>
    </row>
    <row r="510" spans="1:2" x14ac:dyDescent="0.35">
      <c r="A510" s="258" t="s">
        <v>1151</v>
      </c>
      <c r="B510" s="258" t="s">
        <v>537</v>
      </c>
    </row>
    <row r="511" spans="1:2" x14ac:dyDescent="0.35">
      <c r="A511" s="258" t="s">
        <v>1152</v>
      </c>
      <c r="B511" s="258" t="s">
        <v>532</v>
      </c>
    </row>
    <row r="512" spans="1:2" x14ac:dyDescent="0.35">
      <c r="A512" s="258" t="s">
        <v>1153</v>
      </c>
      <c r="B512" s="258" t="s">
        <v>670</v>
      </c>
    </row>
    <row r="513" spans="1:2" x14ac:dyDescent="0.35">
      <c r="A513" s="258" t="s">
        <v>1154</v>
      </c>
      <c r="B513" s="258" t="s">
        <v>670</v>
      </c>
    </row>
    <row r="514" spans="1:2" x14ac:dyDescent="0.35">
      <c r="A514" s="258" t="s">
        <v>1155</v>
      </c>
      <c r="B514" s="258" t="s">
        <v>670</v>
      </c>
    </row>
    <row r="515" spans="1:2" x14ac:dyDescent="0.35">
      <c r="A515" s="258" t="s">
        <v>1156</v>
      </c>
      <c r="B515" s="258" t="s">
        <v>532</v>
      </c>
    </row>
    <row r="516" spans="1:2" x14ac:dyDescent="0.35">
      <c r="A516" s="258" t="s">
        <v>1157</v>
      </c>
      <c r="B516" s="258" t="s">
        <v>532</v>
      </c>
    </row>
    <row r="517" spans="1:2" x14ac:dyDescent="0.35">
      <c r="A517" s="258" t="s">
        <v>1158</v>
      </c>
      <c r="B517" s="258" t="s">
        <v>532</v>
      </c>
    </row>
    <row r="518" spans="1:2" x14ac:dyDescent="0.35">
      <c r="A518" s="258" t="s">
        <v>1159</v>
      </c>
      <c r="B518" s="258" t="s">
        <v>534</v>
      </c>
    </row>
    <row r="519" spans="1:2" x14ac:dyDescent="0.35">
      <c r="A519" s="258" t="s">
        <v>1160</v>
      </c>
      <c r="B519" s="258" t="s">
        <v>532</v>
      </c>
    </row>
    <row r="520" spans="1:2" x14ac:dyDescent="0.35">
      <c r="A520" s="258" t="s">
        <v>1161</v>
      </c>
      <c r="B520" s="258" t="s">
        <v>528</v>
      </c>
    </row>
    <row r="521" spans="1:2" x14ac:dyDescent="0.35">
      <c r="A521" s="258" t="s">
        <v>1162</v>
      </c>
      <c r="B521" s="258" t="s">
        <v>528</v>
      </c>
    </row>
    <row r="522" spans="1:2" x14ac:dyDescent="0.35">
      <c r="A522" s="258" t="s">
        <v>1163</v>
      </c>
      <c r="B522" s="258" t="s">
        <v>528</v>
      </c>
    </row>
    <row r="523" spans="1:2" x14ac:dyDescent="0.35">
      <c r="A523" s="258" t="s">
        <v>1164</v>
      </c>
      <c r="B523" s="258" t="s">
        <v>532</v>
      </c>
    </row>
    <row r="524" spans="1:2" x14ac:dyDescent="0.35">
      <c r="A524" s="258" t="s">
        <v>1165</v>
      </c>
      <c r="B524" s="258" t="s">
        <v>532</v>
      </c>
    </row>
    <row r="525" spans="1:2" x14ac:dyDescent="0.35">
      <c r="A525" s="258" t="s">
        <v>1166</v>
      </c>
      <c r="B525" s="258" t="s">
        <v>532</v>
      </c>
    </row>
    <row r="526" spans="1:2" x14ac:dyDescent="0.35">
      <c r="A526" s="258" t="s">
        <v>1167</v>
      </c>
      <c r="B526" s="258" t="s">
        <v>874</v>
      </c>
    </row>
    <row r="527" spans="1:2" x14ac:dyDescent="0.35">
      <c r="A527" s="258" t="s">
        <v>1168</v>
      </c>
      <c r="B527" s="258" t="s">
        <v>532</v>
      </c>
    </row>
    <row r="528" spans="1:2" x14ac:dyDescent="0.35">
      <c r="A528" s="258" t="s">
        <v>1169</v>
      </c>
      <c r="B528" s="258" t="s">
        <v>587</v>
      </c>
    </row>
    <row r="529" spans="1:2" x14ac:dyDescent="0.35">
      <c r="A529" s="258" t="s">
        <v>1170</v>
      </c>
      <c r="B529" s="258" t="s">
        <v>807</v>
      </c>
    </row>
    <row r="530" spans="1:2" x14ac:dyDescent="0.35">
      <c r="A530" s="258" t="s">
        <v>1171</v>
      </c>
      <c r="B530" s="258" t="s">
        <v>807</v>
      </c>
    </row>
    <row r="531" spans="1:2" x14ac:dyDescent="0.35">
      <c r="A531" s="258" t="s">
        <v>1172</v>
      </c>
      <c r="B531" s="258" t="s">
        <v>532</v>
      </c>
    </row>
    <row r="532" spans="1:2" x14ac:dyDescent="0.35">
      <c r="A532" s="258" t="s">
        <v>1173</v>
      </c>
      <c r="B532" s="258" t="s">
        <v>1028</v>
      </c>
    </row>
    <row r="533" spans="1:2" x14ac:dyDescent="0.35">
      <c r="A533" s="258" t="s">
        <v>1174</v>
      </c>
      <c r="B533" s="258" t="s">
        <v>532</v>
      </c>
    </row>
    <row r="534" spans="1:2" x14ac:dyDescent="0.35">
      <c r="A534" s="258" t="s">
        <v>1175</v>
      </c>
      <c r="B534" s="258" t="s">
        <v>532</v>
      </c>
    </row>
    <row r="535" spans="1:2" x14ac:dyDescent="0.35">
      <c r="A535" s="258" t="s">
        <v>1176</v>
      </c>
      <c r="B535" s="258" t="s">
        <v>532</v>
      </c>
    </row>
    <row r="536" spans="1:2" x14ac:dyDescent="0.35">
      <c r="A536" s="258" t="s">
        <v>1177</v>
      </c>
      <c r="B536" s="258" t="s">
        <v>623</v>
      </c>
    </row>
    <row r="537" spans="1:2" x14ac:dyDescent="0.35">
      <c r="A537" s="258" t="s">
        <v>1178</v>
      </c>
      <c r="B537" s="258" t="s">
        <v>728</v>
      </c>
    </row>
    <row r="538" spans="1:2" x14ac:dyDescent="0.35">
      <c r="A538" s="258" t="s">
        <v>1179</v>
      </c>
      <c r="B538" s="258" t="s">
        <v>532</v>
      </c>
    </row>
    <row r="539" spans="1:2" x14ac:dyDescent="0.35">
      <c r="A539" s="258" t="s">
        <v>1180</v>
      </c>
      <c r="B539" s="258" t="s">
        <v>587</v>
      </c>
    </row>
    <row r="540" spans="1:2" x14ac:dyDescent="0.35">
      <c r="A540" s="258" t="s">
        <v>1181</v>
      </c>
      <c r="B540" s="258" t="s">
        <v>546</v>
      </c>
    </row>
    <row r="541" spans="1:2" x14ac:dyDescent="0.35">
      <c r="A541" s="258" t="s">
        <v>1182</v>
      </c>
      <c r="B541" s="258" t="s">
        <v>1183</v>
      </c>
    </row>
    <row r="542" spans="1:2" x14ac:dyDescent="0.35">
      <c r="A542" s="258" t="s">
        <v>1184</v>
      </c>
      <c r="B542" s="258" t="s">
        <v>1185</v>
      </c>
    </row>
    <row r="543" spans="1:2" x14ac:dyDescent="0.35">
      <c r="A543" s="258" t="s">
        <v>1186</v>
      </c>
      <c r="B543" s="258" t="s">
        <v>532</v>
      </c>
    </row>
    <row r="544" spans="1:2" x14ac:dyDescent="0.35">
      <c r="A544" s="258" t="s">
        <v>1187</v>
      </c>
      <c r="B544" s="258" t="s">
        <v>1188</v>
      </c>
    </row>
    <row r="545" spans="1:2" x14ac:dyDescent="0.35">
      <c r="A545" s="258" t="s">
        <v>1189</v>
      </c>
      <c r="B545" s="258" t="s">
        <v>1190</v>
      </c>
    </row>
    <row r="546" spans="1:2" x14ac:dyDescent="0.35">
      <c r="A546" s="258" t="s">
        <v>1191</v>
      </c>
      <c r="B546" s="258" t="s">
        <v>532</v>
      </c>
    </row>
    <row r="547" spans="1:2" x14ac:dyDescent="0.35">
      <c r="A547" s="258" t="s">
        <v>1192</v>
      </c>
      <c r="B547" s="258" t="s">
        <v>590</v>
      </c>
    </row>
    <row r="548" spans="1:2" x14ac:dyDescent="0.35">
      <c r="A548" s="258" t="s">
        <v>1193</v>
      </c>
      <c r="B548" s="258" t="s">
        <v>587</v>
      </c>
    </row>
    <row r="549" spans="1:2" x14ac:dyDescent="0.35">
      <c r="A549" s="258" t="s">
        <v>1194</v>
      </c>
      <c r="B549" s="258" t="s">
        <v>532</v>
      </c>
    </row>
    <row r="550" spans="1:2" x14ac:dyDescent="0.35">
      <c r="A550" s="258" t="s">
        <v>1195</v>
      </c>
      <c r="B550" s="258" t="s">
        <v>1107</v>
      </c>
    </row>
    <row r="551" spans="1:2" x14ac:dyDescent="0.35">
      <c r="A551" s="258" t="s">
        <v>1196</v>
      </c>
      <c r="B551" s="258" t="s">
        <v>1197</v>
      </c>
    </row>
    <row r="552" spans="1:2" x14ac:dyDescent="0.35">
      <c r="A552" s="258" t="s">
        <v>1198</v>
      </c>
      <c r="B552" s="258" t="s">
        <v>734</v>
      </c>
    </row>
    <row r="553" spans="1:2" x14ac:dyDescent="0.35">
      <c r="A553" s="258" t="s">
        <v>1199</v>
      </c>
      <c r="B553" s="258" t="s">
        <v>1200</v>
      </c>
    </row>
    <row r="554" spans="1:2" x14ac:dyDescent="0.35">
      <c r="A554" s="258" t="s">
        <v>1201</v>
      </c>
      <c r="B554" s="258" t="s">
        <v>880</v>
      </c>
    </row>
    <row r="555" spans="1:2" x14ac:dyDescent="0.35">
      <c r="A555" s="258" t="s">
        <v>1202</v>
      </c>
      <c r="B555" s="258" t="s">
        <v>540</v>
      </c>
    </row>
    <row r="556" spans="1:2" x14ac:dyDescent="0.35">
      <c r="A556" s="258" t="s">
        <v>1203</v>
      </c>
      <c r="B556" s="258" t="s">
        <v>532</v>
      </c>
    </row>
    <row r="557" spans="1:2" x14ac:dyDescent="0.35">
      <c r="A557" s="258" t="s">
        <v>1204</v>
      </c>
      <c r="B557" s="258" t="s">
        <v>821</v>
      </c>
    </row>
    <row r="558" spans="1:2" x14ac:dyDescent="0.35">
      <c r="A558" s="258" t="s">
        <v>1205</v>
      </c>
      <c r="B558" s="258" t="s">
        <v>532</v>
      </c>
    </row>
    <row r="559" spans="1:2" x14ac:dyDescent="0.35">
      <c r="A559" s="258" t="s">
        <v>1206</v>
      </c>
      <c r="B559" s="258" t="s">
        <v>540</v>
      </c>
    </row>
    <row r="560" spans="1:2" x14ac:dyDescent="0.35">
      <c r="A560" s="258" t="s">
        <v>1207</v>
      </c>
      <c r="B560" s="258" t="s">
        <v>532</v>
      </c>
    </row>
    <row r="561" spans="1:2" x14ac:dyDescent="0.35">
      <c r="A561" s="258" t="s">
        <v>1208</v>
      </c>
      <c r="B561" s="258" t="s">
        <v>532</v>
      </c>
    </row>
    <row r="562" spans="1:2" x14ac:dyDescent="0.35">
      <c r="A562" s="258" t="s">
        <v>1209</v>
      </c>
      <c r="B562" s="258" t="s">
        <v>583</v>
      </c>
    </row>
    <row r="563" spans="1:2" x14ac:dyDescent="0.35">
      <c r="A563" s="258" t="s">
        <v>1210</v>
      </c>
      <c r="B563" s="258" t="s">
        <v>710</v>
      </c>
    </row>
    <row r="564" spans="1:2" x14ac:dyDescent="0.35">
      <c r="A564" s="258" t="s">
        <v>1211</v>
      </c>
      <c r="B564" s="258" t="s">
        <v>587</v>
      </c>
    </row>
    <row r="565" spans="1:2" x14ac:dyDescent="0.35">
      <c r="A565" s="258" t="s">
        <v>1212</v>
      </c>
      <c r="B565" s="258" t="s">
        <v>587</v>
      </c>
    </row>
    <row r="566" spans="1:2" x14ac:dyDescent="0.35">
      <c r="A566" s="258" t="s">
        <v>1213</v>
      </c>
      <c r="B566" s="258" t="s">
        <v>1214</v>
      </c>
    </row>
    <row r="567" spans="1:2" x14ac:dyDescent="0.35">
      <c r="A567" s="258" t="s">
        <v>1215</v>
      </c>
      <c r="B567" s="258" t="s">
        <v>532</v>
      </c>
    </row>
    <row r="568" spans="1:2" x14ac:dyDescent="0.35">
      <c r="A568" s="258" t="s">
        <v>1216</v>
      </c>
      <c r="B568" s="258" t="s">
        <v>587</v>
      </c>
    </row>
    <row r="569" spans="1:2" x14ac:dyDescent="0.35">
      <c r="A569" s="258" t="s">
        <v>1217</v>
      </c>
      <c r="B569" s="258" t="s">
        <v>532</v>
      </c>
    </row>
    <row r="570" spans="1:2" x14ac:dyDescent="0.35">
      <c r="A570" s="258" t="s">
        <v>1218</v>
      </c>
      <c r="B570" s="258" t="s">
        <v>1219</v>
      </c>
    </row>
    <row r="571" spans="1:2" x14ac:dyDescent="0.35">
      <c r="A571" s="258" t="s">
        <v>1220</v>
      </c>
      <c r="B571" s="258" t="s">
        <v>1028</v>
      </c>
    </row>
    <row r="572" spans="1:2" x14ac:dyDescent="0.35">
      <c r="A572" s="258" t="s">
        <v>1221</v>
      </c>
      <c r="B572" s="258" t="s">
        <v>532</v>
      </c>
    </row>
    <row r="573" spans="1:2" x14ac:dyDescent="0.35">
      <c r="A573" s="258" t="s">
        <v>1222</v>
      </c>
      <c r="B573" s="258" t="s">
        <v>640</v>
      </c>
    </row>
    <row r="574" spans="1:2" x14ac:dyDescent="0.35">
      <c r="A574" s="258" t="s">
        <v>1223</v>
      </c>
      <c r="B574" s="258" t="s">
        <v>532</v>
      </c>
    </row>
    <row r="575" spans="1:2" x14ac:dyDescent="0.35">
      <c r="A575" s="258" t="s">
        <v>1224</v>
      </c>
      <c r="B575" s="258" t="s">
        <v>590</v>
      </c>
    </row>
    <row r="576" spans="1:2" x14ac:dyDescent="0.35">
      <c r="A576" s="258" t="s">
        <v>1225</v>
      </c>
      <c r="B576" s="258" t="s">
        <v>1226</v>
      </c>
    </row>
    <row r="577" spans="1:2" x14ac:dyDescent="0.35">
      <c r="A577" s="258" t="s">
        <v>1227</v>
      </c>
      <c r="B577" s="258" t="s">
        <v>1228</v>
      </c>
    </row>
    <row r="578" spans="1:2" x14ac:dyDescent="0.35">
      <c r="A578" s="258" t="s">
        <v>1229</v>
      </c>
      <c r="B578" s="258" t="s">
        <v>532</v>
      </c>
    </row>
    <row r="579" spans="1:2" x14ac:dyDescent="0.35">
      <c r="A579" s="258" t="s">
        <v>1230</v>
      </c>
      <c r="B579" s="258" t="s">
        <v>1231</v>
      </c>
    </row>
    <row r="580" spans="1:2" x14ac:dyDescent="0.35">
      <c r="A580" s="258" t="s">
        <v>1232</v>
      </c>
      <c r="B580" s="258" t="s">
        <v>944</v>
      </c>
    </row>
    <row r="581" spans="1:2" x14ac:dyDescent="0.35">
      <c r="A581" s="258" t="s">
        <v>1233</v>
      </c>
      <c r="B581" s="258" t="s">
        <v>734</v>
      </c>
    </row>
    <row r="582" spans="1:2" x14ac:dyDescent="0.35">
      <c r="A582" s="258" t="s">
        <v>1234</v>
      </c>
      <c r="B582" s="258" t="s">
        <v>532</v>
      </c>
    </row>
    <row r="583" spans="1:2" x14ac:dyDescent="0.35">
      <c r="A583" s="258" t="s">
        <v>1235</v>
      </c>
      <c r="B583" s="258" t="s">
        <v>526</v>
      </c>
    </row>
    <row r="584" spans="1:2" x14ac:dyDescent="0.35">
      <c r="A584" s="258" t="s">
        <v>1236</v>
      </c>
      <c r="B584" s="258" t="s">
        <v>532</v>
      </c>
    </row>
    <row r="585" spans="1:2" x14ac:dyDescent="0.35">
      <c r="A585" s="258" t="s">
        <v>1237</v>
      </c>
      <c r="B585" s="258" t="s">
        <v>583</v>
      </c>
    </row>
    <row r="586" spans="1:2" x14ac:dyDescent="0.35">
      <c r="A586" s="258" t="s">
        <v>1238</v>
      </c>
      <c r="B586" s="258" t="s">
        <v>579</v>
      </c>
    </row>
    <row r="587" spans="1:2" x14ac:dyDescent="0.35">
      <c r="A587" s="258" t="s">
        <v>1239</v>
      </c>
      <c r="B587" s="258" t="s">
        <v>532</v>
      </c>
    </row>
    <row r="588" spans="1:2" x14ac:dyDescent="0.35">
      <c r="A588" s="258" t="s">
        <v>1240</v>
      </c>
      <c r="B588" s="258" t="s">
        <v>623</v>
      </c>
    </row>
    <row r="589" spans="1:2" x14ac:dyDescent="0.35">
      <c r="A589" s="258" t="s">
        <v>1241</v>
      </c>
      <c r="B589" s="258" t="s">
        <v>757</v>
      </c>
    </row>
    <row r="590" spans="1:2" x14ac:dyDescent="0.35">
      <c r="A590" s="258" t="s">
        <v>1242</v>
      </c>
      <c r="B590" s="258" t="s">
        <v>757</v>
      </c>
    </row>
    <row r="591" spans="1:2" x14ac:dyDescent="0.35">
      <c r="A591" s="258" t="s">
        <v>1243</v>
      </c>
      <c r="B591" s="258" t="s">
        <v>821</v>
      </c>
    </row>
    <row r="592" spans="1:2" x14ac:dyDescent="0.35">
      <c r="A592" s="258" t="s">
        <v>1244</v>
      </c>
      <c r="B592" s="258" t="s">
        <v>532</v>
      </c>
    </row>
    <row r="593" spans="1:2" x14ac:dyDescent="0.35">
      <c r="A593" s="258" t="s">
        <v>1245</v>
      </c>
      <c r="B593" s="258" t="s">
        <v>1246</v>
      </c>
    </row>
    <row r="594" spans="1:2" x14ac:dyDescent="0.35">
      <c r="A594" s="258" t="s">
        <v>1247</v>
      </c>
      <c r="B594" s="258" t="s">
        <v>739</v>
      </c>
    </row>
    <row r="595" spans="1:2" x14ac:dyDescent="0.35">
      <c r="A595" s="258" t="s">
        <v>1248</v>
      </c>
      <c r="B595" s="258" t="s">
        <v>792</v>
      </c>
    </row>
    <row r="596" spans="1:2" x14ac:dyDescent="0.35">
      <c r="A596" s="258" t="s">
        <v>1249</v>
      </c>
      <c r="B596" s="258" t="s">
        <v>743</v>
      </c>
    </row>
    <row r="597" spans="1:2" x14ac:dyDescent="0.35">
      <c r="A597" s="258" t="s">
        <v>1250</v>
      </c>
      <c r="B597" s="258" t="s">
        <v>1251</v>
      </c>
    </row>
    <row r="598" spans="1:2" x14ac:dyDescent="0.35">
      <c r="A598" s="258" t="s">
        <v>1252</v>
      </c>
      <c r="B598" s="258" t="s">
        <v>1138</v>
      </c>
    </row>
    <row r="599" spans="1:2" x14ac:dyDescent="0.35">
      <c r="A599" s="258" t="s">
        <v>1253</v>
      </c>
      <c r="B599" s="258" t="s">
        <v>532</v>
      </c>
    </row>
    <row r="600" spans="1:2" x14ac:dyDescent="0.35">
      <c r="A600" s="258" t="s">
        <v>1254</v>
      </c>
      <c r="B600" s="258" t="s">
        <v>532</v>
      </c>
    </row>
    <row r="601" spans="1:2" x14ac:dyDescent="0.35">
      <c r="A601" s="258" t="s">
        <v>1255</v>
      </c>
      <c r="B601" s="258" t="s">
        <v>532</v>
      </c>
    </row>
    <row r="602" spans="1:2" x14ac:dyDescent="0.35">
      <c r="A602" s="258" t="s">
        <v>1256</v>
      </c>
      <c r="B602" s="258" t="s">
        <v>934</v>
      </c>
    </row>
    <row r="603" spans="1:2" x14ac:dyDescent="0.35">
      <c r="A603" s="258" t="s">
        <v>1257</v>
      </c>
      <c r="B603" s="258" t="s">
        <v>745</v>
      </c>
    </row>
    <row r="604" spans="1:2" x14ac:dyDescent="0.35">
      <c r="A604" s="258" t="s">
        <v>1258</v>
      </c>
      <c r="B604" s="258" t="s">
        <v>745</v>
      </c>
    </row>
    <row r="605" spans="1:2" x14ac:dyDescent="0.35">
      <c r="A605" s="258" t="s">
        <v>1259</v>
      </c>
      <c r="B605" s="258" t="s">
        <v>699</v>
      </c>
    </row>
    <row r="606" spans="1:2" x14ac:dyDescent="0.35">
      <c r="A606" s="258" t="s">
        <v>1260</v>
      </c>
      <c r="B606" s="258" t="s">
        <v>532</v>
      </c>
    </row>
    <row r="607" spans="1:2" x14ac:dyDescent="0.35">
      <c r="A607" s="258" t="s">
        <v>1261</v>
      </c>
      <c r="B607" s="258" t="s">
        <v>590</v>
      </c>
    </row>
    <row r="608" spans="1:2" x14ac:dyDescent="0.35">
      <c r="A608" s="258" t="s">
        <v>1262</v>
      </c>
      <c r="B608" s="258" t="s">
        <v>532</v>
      </c>
    </row>
    <row r="609" spans="1:2" x14ac:dyDescent="0.35">
      <c r="A609" s="258" t="s">
        <v>1263</v>
      </c>
      <c r="B609" s="258" t="s">
        <v>1264</v>
      </c>
    </row>
    <row r="610" spans="1:2" x14ac:dyDescent="0.35">
      <c r="A610" s="258" t="s">
        <v>1265</v>
      </c>
      <c r="B610" s="258" t="s">
        <v>1264</v>
      </c>
    </row>
    <row r="611" spans="1:2" x14ac:dyDescent="0.35">
      <c r="A611" s="258" t="s">
        <v>1266</v>
      </c>
      <c r="B611" s="258" t="s">
        <v>532</v>
      </c>
    </row>
    <row r="612" spans="1:2" x14ac:dyDescent="0.35">
      <c r="A612" s="258" t="s">
        <v>1267</v>
      </c>
      <c r="B612" s="258" t="s">
        <v>757</v>
      </c>
    </row>
    <row r="613" spans="1:2" x14ac:dyDescent="0.35">
      <c r="A613" s="258" t="s">
        <v>1268</v>
      </c>
      <c r="B613" s="258" t="s">
        <v>1269</v>
      </c>
    </row>
    <row r="614" spans="1:2" x14ac:dyDescent="0.35">
      <c r="A614" s="258" t="s">
        <v>1270</v>
      </c>
      <c r="B614" s="258" t="s">
        <v>757</v>
      </c>
    </row>
    <row r="615" spans="1:2" x14ac:dyDescent="0.35">
      <c r="A615" s="258" t="s">
        <v>1271</v>
      </c>
      <c r="B615" s="258" t="s">
        <v>757</v>
      </c>
    </row>
    <row r="616" spans="1:2" x14ac:dyDescent="0.35">
      <c r="A616" s="258" t="s">
        <v>1272</v>
      </c>
      <c r="B616" s="258" t="s">
        <v>532</v>
      </c>
    </row>
    <row r="617" spans="1:2" x14ac:dyDescent="0.35">
      <c r="A617" s="258" t="s">
        <v>1273</v>
      </c>
      <c r="B617" s="258" t="s">
        <v>526</v>
      </c>
    </row>
    <row r="618" spans="1:2" x14ac:dyDescent="0.35">
      <c r="A618" s="258" t="s">
        <v>1274</v>
      </c>
      <c r="B618" s="258" t="s">
        <v>526</v>
      </c>
    </row>
    <row r="619" spans="1:2" x14ac:dyDescent="0.35">
      <c r="A619" s="258" t="s">
        <v>1275</v>
      </c>
      <c r="B619" s="258" t="s">
        <v>532</v>
      </c>
    </row>
    <row r="620" spans="1:2" x14ac:dyDescent="0.35">
      <c r="A620" s="258" t="s">
        <v>1276</v>
      </c>
      <c r="B620" s="258" t="s">
        <v>878</v>
      </c>
    </row>
    <row r="621" spans="1:2" x14ac:dyDescent="0.35">
      <c r="A621" s="258" t="s">
        <v>1277</v>
      </c>
      <c r="B621" s="258" t="s">
        <v>878</v>
      </c>
    </row>
    <row r="622" spans="1:2" x14ac:dyDescent="0.35">
      <c r="A622" s="258" t="s">
        <v>1278</v>
      </c>
      <c r="B622" s="258" t="s">
        <v>532</v>
      </c>
    </row>
    <row r="623" spans="1:2" x14ac:dyDescent="0.35">
      <c r="A623" s="258" t="s">
        <v>1279</v>
      </c>
      <c r="B623" s="258" t="s">
        <v>532</v>
      </c>
    </row>
    <row r="624" spans="1:2" x14ac:dyDescent="0.35">
      <c r="A624" s="258" t="s">
        <v>1280</v>
      </c>
      <c r="B624" s="258" t="s">
        <v>1281</v>
      </c>
    </row>
    <row r="625" spans="1:2" x14ac:dyDescent="0.35">
      <c r="A625" s="258" t="s">
        <v>1282</v>
      </c>
      <c r="B625" s="258" t="s">
        <v>1283</v>
      </c>
    </row>
    <row r="626" spans="1:2" x14ac:dyDescent="0.35">
      <c r="A626" s="258" t="s">
        <v>1284</v>
      </c>
      <c r="B626" s="258" t="s">
        <v>1109</v>
      </c>
    </row>
    <row r="627" spans="1:2" x14ac:dyDescent="0.35">
      <c r="A627" s="258" t="s">
        <v>1285</v>
      </c>
      <c r="B627" s="258" t="s">
        <v>532</v>
      </c>
    </row>
    <row r="628" spans="1:2" x14ac:dyDescent="0.35">
      <c r="A628" s="258" t="s">
        <v>1286</v>
      </c>
      <c r="B628" s="258" t="s">
        <v>532</v>
      </c>
    </row>
    <row r="629" spans="1:2" x14ac:dyDescent="0.35">
      <c r="A629" s="258" t="s">
        <v>1287</v>
      </c>
      <c r="B629" s="258" t="s">
        <v>667</v>
      </c>
    </row>
    <row r="630" spans="1:2" x14ac:dyDescent="0.35">
      <c r="A630" s="258" t="s">
        <v>1288</v>
      </c>
      <c r="B630" s="258" t="s">
        <v>1289</v>
      </c>
    </row>
    <row r="631" spans="1:2" x14ac:dyDescent="0.35">
      <c r="A631" s="258" t="s">
        <v>1290</v>
      </c>
      <c r="B631" s="258" t="s">
        <v>1001</v>
      </c>
    </row>
    <row r="632" spans="1:2" x14ac:dyDescent="0.35">
      <c r="A632" s="258" t="s">
        <v>1291</v>
      </c>
      <c r="B632" s="258" t="s">
        <v>787</v>
      </c>
    </row>
    <row r="633" spans="1:2" x14ac:dyDescent="0.35">
      <c r="A633" s="258" t="s">
        <v>1292</v>
      </c>
      <c r="B633" s="258" t="s">
        <v>532</v>
      </c>
    </row>
    <row r="634" spans="1:2" x14ac:dyDescent="0.35">
      <c r="A634" s="258" t="s">
        <v>1293</v>
      </c>
      <c r="B634" s="258" t="s">
        <v>532</v>
      </c>
    </row>
    <row r="635" spans="1:2" x14ac:dyDescent="0.35">
      <c r="A635" s="258" t="s">
        <v>1294</v>
      </c>
      <c r="B635" s="258" t="s">
        <v>616</v>
      </c>
    </row>
    <row r="636" spans="1:2" x14ac:dyDescent="0.35">
      <c r="A636" s="258" t="s">
        <v>1295</v>
      </c>
      <c r="B636" s="258" t="s">
        <v>532</v>
      </c>
    </row>
    <row r="637" spans="1:2" x14ac:dyDescent="0.35">
      <c r="A637" s="258" t="s">
        <v>1296</v>
      </c>
      <c r="B637" s="258" t="s">
        <v>757</v>
      </c>
    </row>
    <row r="638" spans="1:2" x14ac:dyDescent="0.35">
      <c r="A638" s="258" t="s">
        <v>1297</v>
      </c>
      <c r="B638" s="258" t="s">
        <v>785</v>
      </c>
    </row>
    <row r="639" spans="1:2" x14ac:dyDescent="0.35">
      <c r="A639" s="258" t="s">
        <v>1298</v>
      </c>
      <c r="B639" s="258" t="s">
        <v>590</v>
      </c>
    </row>
    <row r="640" spans="1:2" x14ac:dyDescent="0.35">
      <c r="A640" s="258" t="s">
        <v>1299</v>
      </c>
      <c r="B640" s="258" t="s">
        <v>1300</v>
      </c>
    </row>
    <row r="641" spans="1:2" x14ac:dyDescent="0.35">
      <c r="A641" s="258" t="s">
        <v>1301</v>
      </c>
      <c r="B641" s="258" t="s">
        <v>659</v>
      </c>
    </row>
    <row r="642" spans="1:2" x14ac:dyDescent="0.35">
      <c r="A642" s="258" t="s">
        <v>1302</v>
      </c>
      <c r="B642" s="258" t="s">
        <v>874</v>
      </c>
    </row>
    <row r="643" spans="1:2" x14ac:dyDescent="0.35">
      <c r="A643" s="258" t="s">
        <v>1303</v>
      </c>
      <c r="B643" s="258" t="s">
        <v>874</v>
      </c>
    </row>
    <row r="644" spans="1:2" x14ac:dyDescent="0.35">
      <c r="A644" s="258" t="s">
        <v>1304</v>
      </c>
      <c r="B644" s="258" t="s">
        <v>1305</v>
      </c>
    </row>
    <row r="645" spans="1:2" x14ac:dyDescent="0.35">
      <c r="A645" s="258" t="s">
        <v>1306</v>
      </c>
      <c r="B645" s="258" t="s">
        <v>1307</v>
      </c>
    </row>
    <row r="646" spans="1:2" x14ac:dyDescent="0.35">
      <c r="A646" s="258" t="s">
        <v>1308</v>
      </c>
      <c r="B646" s="258" t="s">
        <v>1307</v>
      </c>
    </row>
    <row r="647" spans="1:2" x14ac:dyDescent="0.35">
      <c r="A647" s="258" t="s">
        <v>1309</v>
      </c>
      <c r="B647" s="258" t="s">
        <v>778</v>
      </c>
    </row>
    <row r="648" spans="1:2" x14ac:dyDescent="0.35">
      <c r="A648" s="258" t="s">
        <v>1310</v>
      </c>
      <c r="B648" s="258" t="s">
        <v>623</v>
      </c>
    </row>
    <row r="649" spans="1:2" x14ac:dyDescent="0.35">
      <c r="A649" s="258" t="s">
        <v>1311</v>
      </c>
      <c r="B649" s="258" t="s">
        <v>532</v>
      </c>
    </row>
    <row r="650" spans="1:2" x14ac:dyDescent="0.35">
      <c r="A650" s="258" t="s">
        <v>1312</v>
      </c>
      <c r="B650" s="258" t="s">
        <v>532</v>
      </c>
    </row>
    <row r="651" spans="1:2" x14ac:dyDescent="0.35">
      <c r="A651" s="258" t="s">
        <v>1313</v>
      </c>
      <c r="B651" s="258" t="s">
        <v>1314</v>
      </c>
    </row>
    <row r="652" spans="1:2" x14ac:dyDescent="0.35">
      <c r="A652" s="258" t="s">
        <v>1315</v>
      </c>
      <c r="B652" s="258" t="s">
        <v>532</v>
      </c>
    </row>
    <row r="653" spans="1:2" x14ac:dyDescent="0.35">
      <c r="A653" s="258" t="s">
        <v>1316</v>
      </c>
      <c r="B653" s="258" t="s">
        <v>532</v>
      </c>
    </row>
    <row r="654" spans="1:2" x14ac:dyDescent="0.35">
      <c r="A654" s="258" t="s">
        <v>1317</v>
      </c>
      <c r="B654" s="258" t="s">
        <v>534</v>
      </c>
    </row>
    <row r="655" spans="1:2" x14ac:dyDescent="0.35">
      <c r="A655" s="258" t="s">
        <v>1318</v>
      </c>
      <c r="B655" s="258" t="s">
        <v>587</v>
      </c>
    </row>
    <row r="656" spans="1:2" x14ac:dyDescent="0.35">
      <c r="A656" s="258" t="s">
        <v>1319</v>
      </c>
      <c r="B656" s="258" t="s">
        <v>623</v>
      </c>
    </row>
    <row r="657" spans="1:2" x14ac:dyDescent="0.35">
      <c r="A657" s="258" t="s">
        <v>1320</v>
      </c>
      <c r="B657" s="258" t="s">
        <v>1321</v>
      </c>
    </row>
    <row r="658" spans="1:2" x14ac:dyDescent="0.35">
      <c r="A658" s="258" t="s">
        <v>1322</v>
      </c>
      <c r="B658" s="258" t="s">
        <v>623</v>
      </c>
    </row>
    <row r="659" spans="1:2" x14ac:dyDescent="0.35">
      <c r="A659" s="258" t="s">
        <v>1323</v>
      </c>
      <c r="B659" s="258" t="s">
        <v>774</v>
      </c>
    </row>
    <row r="660" spans="1:2" x14ac:dyDescent="0.35">
      <c r="A660" s="258" t="s">
        <v>1324</v>
      </c>
      <c r="B660" s="258" t="s">
        <v>532</v>
      </c>
    </row>
    <row r="661" spans="1:2" x14ac:dyDescent="0.35">
      <c r="A661" s="258" t="s">
        <v>1325</v>
      </c>
      <c r="B661" s="258" t="s">
        <v>532</v>
      </c>
    </row>
    <row r="662" spans="1:2" x14ac:dyDescent="0.35">
      <c r="A662" s="258" t="s">
        <v>1326</v>
      </c>
      <c r="B662" s="258" t="s">
        <v>1327</v>
      </c>
    </row>
    <row r="663" spans="1:2" x14ac:dyDescent="0.35">
      <c r="A663" s="258" t="s">
        <v>1328</v>
      </c>
      <c r="B663" s="258" t="s">
        <v>1226</v>
      </c>
    </row>
    <row r="664" spans="1:2" x14ac:dyDescent="0.35">
      <c r="A664" s="258" t="s">
        <v>1329</v>
      </c>
      <c r="B664" s="258" t="s">
        <v>1330</v>
      </c>
    </row>
    <row r="665" spans="1:2" x14ac:dyDescent="0.35">
      <c r="A665" s="258" t="s">
        <v>1331</v>
      </c>
      <c r="B665" s="258" t="s">
        <v>781</v>
      </c>
    </row>
    <row r="666" spans="1:2" x14ac:dyDescent="0.35">
      <c r="A666" s="258" t="s">
        <v>1332</v>
      </c>
      <c r="B666" s="258" t="s">
        <v>532</v>
      </c>
    </row>
    <row r="667" spans="1:2" x14ac:dyDescent="0.35">
      <c r="A667" s="258" t="s">
        <v>1333</v>
      </c>
      <c r="B667" s="258" t="s">
        <v>532</v>
      </c>
    </row>
    <row r="668" spans="1:2" x14ac:dyDescent="0.35">
      <c r="A668" s="258" t="s">
        <v>1334</v>
      </c>
      <c r="B668" s="258" t="s">
        <v>728</v>
      </c>
    </row>
    <row r="669" spans="1:2" x14ac:dyDescent="0.35">
      <c r="A669" s="258" t="s">
        <v>1335</v>
      </c>
      <c r="B669" s="258" t="s">
        <v>590</v>
      </c>
    </row>
    <row r="670" spans="1:2" x14ac:dyDescent="0.35">
      <c r="A670" s="258" t="s">
        <v>1336</v>
      </c>
      <c r="B670" s="258" t="s">
        <v>787</v>
      </c>
    </row>
    <row r="671" spans="1:2" x14ac:dyDescent="0.35">
      <c r="A671" s="258" t="s">
        <v>1337</v>
      </c>
      <c r="B671" s="258" t="s">
        <v>787</v>
      </c>
    </row>
    <row r="672" spans="1:2" x14ac:dyDescent="0.35">
      <c r="A672" s="258" t="s">
        <v>1338</v>
      </c>
      <c r="B672" s="258" t="s">
        <v>1141</v>
      </c>
    </row>
    <row r="673" spans="1:2" x14ac:dyDescent="0.35">
      <c r="A673" s="258" t="s">
        <v>1339</v>
      </c>
      <c r="B673" s="258" t="s">
        <v>977</v>
      </c>
    </row>
    <row r="674" spans="1:2" x14ac:dyDescent="0.35">
      <c r="A674" s="258" t="s">
        <v>1340</v>
      </c>
      <c r="B674" s="258" t="s">
        <v>1018</v>
      </c>
    </row>
    <row r="675" spans="1:2" x14ac:dyDescent="0.35">
      <c r="A675" s="258" t="s">
        <v>1341</v>
      </c>
      <c r="B675" s="258" t="s">
        <v>532</v>
      </c>
    </row>
    <row r="676" spans="1:2" x14ac:dyDescent="0.35">
      <c r="A676" s="258" t="s">
        <v>1342</v>
      </c>
      <c r="B676" s="258" t="s">
        <v>663</v>
      </c>
    </row>
    <row r="677" spans="1:2" x14ac:dyDescent="0.35">
      <c r="A677" s="258" t="s">
        <v>1343</v>
      </c>
      <c r="B677" s="258" t="s">
        <v>683</v>
      </c>
    </row>
    <row r="678" spans="1:2" x14ac:dyDescent="0.35">
      <c r="A678" s="258" t="s">
        <v>1344</v>
      </c>
      <c r="B678" s="258" t="s">
        <v>1006</v>
      </c>
    </row>
    <row r="679" spans="1:2" x14ac:dyDescent="0.35">
      <c r="A679" s="258" t="s">
        <v>1345</v>
      </c>
      <c r="B679" s="258" t="s">
        <v>532</v>
      </c>
    </row>
    <row r="680" spans="1:2" x14ac:dyDescent="0.35">
      <c r="A680" s="258" t="s">
        <v>1346</v>
      </c>
      <c r="B680" s="258" t="s">
        <v>623</v>
      </c>
    </row>
    <row r="681" spans="1:2" x14ac:dyDescent="0.35">
      <c r="A681" s="258" t="s">
        <v>1347</v>
      </c>
      <c r="B681" s="258" t="s">
        <v>623</v>
      </c>
    </row>
    <row r="682" spans="1:2" x14ac:dyDescent="0.35">
      <c r="A682" s="258" t="s">
        <v>1348</v>
      </c>
      <c r="B682" s="258" t="s">
        <v>623</v>
      </c>
    </row>
    <row r="683" spans="1:2" x14ac:dyDescent="0.35">
      <c r="A683" s="258" t="s">
        <v>1349</v>
      </c>
      <c r="B683" s="258" t="s">
        <v>532</v>
      </c>
    </row>
    <row r="684" spans="1:2" x14ac:dyDescent="0.35">
      <c r="A684" s="258" t="s">
        <v>1350</v>
      </c>
      <c r="B684" s="258" t="s">
        <v>1048</v>
      </c>
    </row>
    <row r="685" spans="1:2" x14ac:dyDescent="0.35">
      <c r="A685" s="258" t="s">
        <v>1351</v>
      </c>
      <c r="B685" s="258" t="s">
        <v>607</v>
      </c>
    </row>
    <row r="686" spans="1:2" x14ac:dyDescent="0.35">
      <c r="A686" s="258" t="s">
        <v>1352</v>
      </c>
      <c r="B686" s="258" t="s">
        <v>532</v>
      </c>
    </row>
    <row r="687" spans="1:2" x14ac:dyDescent="0.35">
      <c r="A687" s="258" t="s">
        <v>1353</v>
      </c>
      <c r="B687" s="258" t="s">
        <v>532</v>
      </c>
    </row>
    <row r="688" spans="1:2" x14ac:dyDescent="0.35">
      <c r="A688" s="258" t="s">
        <v>1354</v>
      </c>
      <c r="B688" s="258" t="s">
        <v>532</v>
      </c>
    </row>
    <row r="689" spans="1:2" x14ac:dyDescent="0.35">
      <c r="A689" s="258" t="s">
        <v>1355</v>
      </c>
      <c r="B689" s="258" t="s">
        <v>1028</v>
      </c>
    </row>
    <row r="690" spans="1:2" x14ac:dyDescent="0.35">
      <c r="A690" s="258" t="s">
        <v>1356</v>
      </c>
      <c r="B690" s="258" t="s">
        <v>1357</v>
      </c>
    </row>
    <row r="691" spans="1:2" x14ac:dyDescent="0.35">
      <c r="A691" s="258" t="s">
        <v>1358</v>
      </c>
      <c r="B691" s="258" t="s">
        <v>1028</v>
      </c>
    </row>
    <row r="692" spans="1:2" x14ac:dyDescent="0.35">
      <c r="A692" s="258" t="s">
        <v>1359</v>
      </c>
      <c r="B692" s="258" t="s">
        <v>623</v>
      </c>
    </row>
    <row r="693" spans="1:2" x14ac:dyDescent="0.35">
      <c r="A693" s="258" t="s">
        <v>1360</v>
      </c>
      <c r="B693" s="258" t="s">
        <v>1048</v>
      </c>
    </row>
    <row r="694" spans="1:2" x14ac:dyDescent="0.35">
      <c r="A694" s="258" t="s">
        <v>1361</v>
      </c>
      <c r="B694" s="258" t="s">
        <v>1362</v>
      </c>
    </row>
    <row r="695" spans="1:2" x14ac:dyDescent="0.35">
      <c r="A695" s="258" t="s">
        <v>1363</v>
      </c>
      <c r="B695" s="258" t="s">
        <v>757</v>
      </c>
    </row>
    <row r="696" spans="1:2" x14ac:dyDescent="0.35">
      <c r="A696" s="258" t="s">
        <v>1364</v>
      </c>
      <c r="B696" s="258" t="s">
        <v>587</v>
      </c>
    </row>
    <row r="697" spans="1:2" x14ac:dyDescent="0.35">
      <c r="A697" s="258" t="s">
        <v>1365</v>
      </c>
      <c r="B697" s="258" t="s">
        <v>587</v>
      </c>
    </row>
    <row r="698" spans="1:2" x14ac:dyDescent="0.35">
      <c r="A698" s="258" t="s">
        <v>1366</v>
      </c>
      <c r="B698" s="258" t="s">
        <v>623</v>
      </c>
    </row>
    <row r="699" spans="1:2" x14ac:dyDescent="0.35">
      <c r="A699" s="258" t="s">
        <v>1367</v>
      </c>
      <c r="B699" s="258" t="s">
        <v>532</v>
      </c>
    </row>
    <row r="700" spans="1:2" x14ac:dyDescent="0.35">
      <c r="A700" s="258" t="s">
        <v>1368</v>
      </c>
      <c r="B700" s="258" t="s">
        <v>646</v>
      </c>
    </row>
    <row r="701" spans="1:2" x14ac:dyDescent="0.35">
      <c r="A701" s="258" t="s">
        <v>1369</v>
      </c>
      <c r="B701" s="258" t="s">
        <v>1370</v>
      </c>
    </row>
    <row r="702" spans="1:2" x14ac:dyDescent="0.35">
      <c r="A702" s="258" t="s">
        <v>1371</v>
      </c>
      <c r="B702" s="258" t="s">
        <v>528</v>
      </c>
    </row>
    <row r="703" spans="1:2" x14ac:dyDescent="0.35">
      <c r="A703" s="258" t="s">
        <v>1372</v>
      </c>
      <c r="B703" s="258" t="s">
        <v>1048</v>
      </c>
    </row>
    <row r="704" spans="1:2" x14ac:dyDescent="0.35">
      <c r="A704" s="258" t="s">
        <v>1373</v>
      </c>
      <c r="B704" s="258" t="s">
        <v>587</v>
      </c>
    </row>
    <row r="705" spans="1:2" x14ac:dyDescent="0.35">
      <c r="A705" s="258" t="s">
        <v>1374</v>
      </c>
      <c r="B705" s="258" t="s">
        <v>623</v>
      </c>
    </row>
    <row r="706" spans="1:2" x14ac:dyDescent="0.35">
      <c r="A706" s="258" t="s">
        <v>1375</v>
      </c>
      <c r="B706" s="258" t="s">
        <v>587</v>
      </c>
    </row>
    <row r="707" spans="1:2" x14ac:dyDescent="0.35">
      <c r="A707" s="258" t="s">
        <v>1376</v>
      </c>
      <c r="B707" s="258" t="s">
        <v>743</v>
      </c>
    </row>
    <row r="708" spans="1:2" x14ac:dyDescent="0.35">
      <c r="A708" s="258" t="s">
        <v>1377</v>
      </c>
      <c r="B708" s="258" t="s">
        <v>734</v>
      </c>
    </row>
    <row r="709" spans="1:2" x14ac:dyDescent="0.35">
      <c r="A709" s="258" t="s">
        <v>1378</v>
      </c>
      <c r="B709" s="258" t="s">
        <v>546</v>
      </c>
    </row>
    <row r="710" spans="1:2" x14ac:dyDescent="0.35">
      <c r="A710" s="258" t="s">
        <v>1379</v>
      </c>
      <c r="B710" s="258" t="s">
        <v>625</v>
      </c>
    </row>
    <row r="711" spans="1:2" x14ac:dyDescent="0.35">
      <c r="A711" s="258" t="s">
        <v>1380</v>
      </c>
      <c r="B711" s="258" t="s">
        <v>1226</v>
      </c>
    </row>
    <row r="712" spans="1:2" x14ac:dyDescent="0.35">
      <c r="A712" s="258" t="s">
        <v>1381</v>
      </c>
      <c r="B712" s="258" t="s">
        <v>1226</v>
      </c>
    </row>
    <row r="713" spans="1:2" x14ac:dyDescent="0.35">
      <c r="A713" s="258" t="s">
        <v>1382</v>
      </c>
      <c r="B713" s="258" t="s">
        <v>532</v>
      </c>
    </row>
    <row r="714" spans="1:2" x14ac:dyDescent="0.35">
      <c r="A714" s="258" t="s">
        <v>1383</v>
      </c>
      <c r="B714" s="258" t="s">
        <v>960</v>
      </c>
    </row>
    <row r="715" spans="1:2" x14ac:dyDescent="0.35">
      <c r="A715" s="258" t="s">
        <v>1384</v>
      </c>
      <c r="B715" s="258" t="s">
        <v>532</v>
      </c>
    </row>
    <row r="716" spans="1:2" x14ac:dyDescent="0.35">
      <c r="A716" s="258" t="s">
        <v>1385</v>
      </c>
      <c r="B716" s="258" t="s">
        <v>532</v>
      </c>
    </row>
    <row r="717" spans="1:2" x14ac:dyDescent="0.35">
      <c r="A717" s="258" t="s">
        <v>1386</v>
      </c>
      <c r="B717" s="258" t="s">
        <v>532</v>
      </c>
    </row>
    <row r="718" spans="1:2" x14ac:dyDescent="0.35">
      <c r="A718" s="258" t="s">
        <v>1387</v>
      </c>
      <c r="B718" s="258" t="s">
        <v>1388</v>
      </c>
    </row>
    <row r="719" spans="1:2" x14ac:dyDescent="0.35">
      <c r="A719" s="258" t="s">
        <v>1389</v>
      </c>
      <c r="B719" s="258" t="s">
        <v>1390</v>
      </c>
    </row>
    <row r="720" spans="1:2" x14ac:dyDescent="0.35">
      <c r="A720" s="258" t="s">
        <v>1391</v>
      </c>
      <c r="B720" s="258" t="s">
        <v>1392</v>
      </c>
    </row>
    <row r="721" spans="1:2" x14ac:dyDescent="0.35">
      <c r="A721" s="258" t="s">
        <v>1393</v>
      </c>
      <c r="B721" s="258" t="s">
        <v>1228</v>
      </c>
    </row>
    <row r="722" spans="1:2" x14ac:dyDescent="0.35">
      <c r="A722" s="258" t="s">
        <v>1394</v>
      </c>
      <c r="B722" s="258" t="s">
        <v>1048</v>
      </c>
    </row>
    <row r="723" spans="1:2" x14ac:dyDescent="0.35">
      <c r="A723" s="258" t="s">
        <v>1395</v>
      </c>
      <c r="B723" s="258" t="s">
        <v>1396</v>
      </c>
    </row>
    <row r="724" spans="1:2" x14ac:dyDescent="0.35">
      <c r="A724" s="258" t="s">
        <v>1397</v>
      </c>
      <c r="B724" s="258" t="s">
        <v>1396</v>
      </c>
    </row>
    <row r="725" spans="1:2" x14ac:dyDescent="0.35">
      <c r="A725" s="258" t="s">
        <v>1398</v>
      </c>
      <c r="B725" s="258" t="s">
        <v>532</v>
      </c>
    </row>
    <row r="726" spans="1:2" x14ac:dyDescent="0.35">
      <c r="A726" s="258" t="s">
        <v>1399</v>
      </c>
      <c r="B726" s="258" t="s">
        <v>1400</v>
      </c>
    </row>
    <row r="727" spans="1:2" x14ac:dyDescent="0.35">
      <c r="A727" s="258" t="s">
        <v>1401</v>
      </c>
      <c r="B727" s="258" t="s">
        <v>532</v>
      </c>
    </row>
    <row r="728" spans="1:2" x14ac:dyDescent="0.35">
      <c r="A728" s="258" t="s">
        <v>1402</v>
      </c>
      <c r="B728" s="258" t="s">
        <v>616</v>
      </c>
    </row>
    <row r="729" spans="1:2" x14ac:dyDescent="0.35">
      <c r="A729" s="258" t="s">
        <v>1403</v>
      </c>
      <c r="B729" s="258" t="s">
        <v>532</v>
      </c>
    </row>
    <row r="730" spans="1:2" x14ac:dyDescent="0.35">
      <c r="A730" s="258" t="s">
        <v>1404</v>
      </c>
      <c r="B730" s="258" t="s">
        <v>532</v>
      </c>
    </row>
    <row r="731" spans="1:2" x14ac:dyDescent="0.35">
      <c r="A731" s="258" t="s">
        <v>1405</v>
      </c>
      <c r="B731" s="258" t="s">
        <v>532</v>
      </c>
    </row>
    <row r="732" spans="1:2" x14ac:dyDescent="0.35">
      <c r="A732" s="258" t="s">
        <v>1406</v>
      </c>
      <c r="B732" s="258" t="s">
        <v>532</v>
      </c>
    </row>
    <row r="733" spans="1:2" x14ac:dyDescent="0.35">
      <c r="A733" s="258" t="s">
        <v>1407</v>
      </c>
      <c r="B733" s="258" t="s">
        <v>579</v>
      </c>
    </row>
    <row r="734" spans="1:2" x14ac:dyDescent="0.35">
      <c r="A734" s="258" t="s">
        <v>1408</v>
      </c>
      <c r="B734" s="258" t="s">
        <v>579</v>
      </c>
    </row>
    <row r="735" spans="1:2" x14ac:dyDescent="0.35">
      <c r="A735" s="258" t="s">
        <v>1409</v>
      </c>
      <c r="B735" s="258" t="s">
        <v>792</v>
      </c>
    </row>
    <row r="736" spans="1:2" x14ac:dyDescent="0.35">
      <c r="A736" s="258" t="s">
        <v>1410</v>
      </c>
      <c r="B736" s="258" t="s">
        <v>940</v>
      </c>
    </row>
    <row r="737" spans="1:2" x14ac:dyDescent="0.35">
      <c r="A737" s="258" t="s">
        <v>1411</v>
      </c>
      <c r="B737" s="258" t="s">
        <v>940</v>
      </c>
    </row>
    <row r="738" spans="1:2" x14ac:dyDescent="0.35">
      <c r="A738" s="258" t="s">
        <v>1412</v>
      </c>
      <c r="B738" s="258" t="s">
        <v>579</v>
      </c>
    </row>
    <row r="739" spans="1:2" x14ac:dyDescent="0.35">
      <c r="A739" s="258" t="s">
        <v>1413</v>
      </c>
      <c r="B739" s="258" t="s">
        <v>1028</v>
      </c>
    </row>
    <row r="740" spans="1:2" x14ac:dyDescent="0.35">
      <c r="A740" s="258" t="s">
        <v>1414</v>
      </c>
      <c r="B740" s="258" t="s">
        <v>781</v>
      </c>
    </row>
    <row r="741" spans="1:2" x14ac:dyDescent="0.35">
      <c r="A741" s="258" t="s">
        <v>1415</v>
      </c>
      <c r="B741" s="258" t="s">
        <v>1416</v>
      </c>
    </row>
    <row r="742" spans="1:2" x14ac:dyDescent="0.35">
      <c r="A742" s="258" t="s">
        <v>1417</v>
      </c>
      <c r="B742" s="258" t="s">
        <v>1188</v>
      </c>
    </row>
    <row r="743" spans="1:2" x14ac:dyDescent="0.35">
      <c r="A743" s="258" t="s">
        <v>1418</v>
      </c>
      <c r="B743" s="258" t="s">
        <v>880</v>
      </c>
    </row>
    <row r="744" spans="1:2" x14ac:dyDescent="0.35">
      <c r="A744" s="258" t="s">
        <v>1419</v>
      </c>
      <c r="B744" s="258" t="s">
        <v>532</v>
      </c>
    </row>
    <row r="745" spans="1:2" x14ac:dyDescent="0.35">
      <c r="A745" s="258" t="s">
        <v>1420</v>
      </c>
      <c r="B745" s="258" t="s">
        <v>1421</v>
      </c>
    </row>
    <row r="746" spans="1:2" x14ac:dyDescent="0.35">
      <c r="A746" s="258" t="s">
        <v>1422</v>
      </c>
      <c r="B746" s="258" t="s">
        <v>757</v>
      </c>
    </row>
    <row r="747" spans="1:2" x14ac:dyDescent="0.35">
      <c r="A747" s="258" t="s">
        <v>1423</v>
      </c>
      <c r="B747" s="258" t="s">
        <v>532</v>
      </c>
    </row>
    <row r="748" spans="1:2" x14ac:dyDescent="0.35">
      <c r="A748" s="258" t="s">
        <v>1424</v>
      </c>
      <c r="B748" s="258" t="s">
        <v>550</v>
      </c>
    </row>
    <row r="749" spans="1:2" x14ac:dyDescent="0.35">
      <c r="A749" s="258" t="s">
        <v>1425</v>
      </c>
      <c r="B749" s="258" t="s">
        <v>1426</v>
      </c>
    </row>
    <row r="750" spans="1:2" x14ac:dyDescent="0.35">
      <c r="A750" s="258" t="s">
        <v>1427</v>
      </c>
      <c r="B750" s="258" t="s">
        <v>616</v>
      </c>
    </row>
    <row r="751" spans="1:2" x14ac:dyDescent="0.35">
      <c r="A751" s="258" t="s">
        <v>1428</v>
      </c>
      <c r="B751" s="258" t="s">
        <v>532</v>
      </c>
    </row>
    <row r="752" spans="1:2" x14ac:dyDescent="0.35">
      <c r="A752" s="258" t="s">
        <v>1429</v>
      </c>
      <c r="B752" s="258" t="s">
        <v>532</v>
      </c>
    </row>
    <row r="753" spans="1:2" x14ac:dyDescent="0.35">
      <c r="A753" s="258" t="s">
        <v>1430</v>
      </c>
      <c r="B753" s="258" t="s">
        <v>532</v>
      </c>
    </row>
    <row r="754" spans="1:2" x14ac:dyDescent="0.35">
      <c r="A754" s="258" t="s">
        <v>1431</v>
      </c>
      <c r="B754" s="258" t="s">
        <v>659</v>
      </c>
    </row>
    <row r="755" spans="1:2" x14ac:dyDescent="0.35">
      <c r="A755" s="258" t="s">
        <v>1432</v>
      </c>
      <c r="B755" s="258" t="s">
        <v>1433</v>
      </c>
    </row>
    <row r="756" spans="1:2" x14ac:dyDescent="0.35">
      <c r="A756" s="258" t="s">
        <v>1434</v>
      </c>
      <c r="B756" s="258" t="s">
        <v>590</v>
      </c>
    </row>
    <row r="757" spans="1:2" x14ac:dyDescent="0.35">
      <c r="A757" s="258" t="s">
        <v>1435</v>
      </c>
      <c r="B757" s="258" t="s">
        <v>616</v>
      </c>
    </row>
    <row r="758" spans="1:2" x14ac:dyDescent="0.35">
      <c r="A758" s="258" t="s">
        <v>1436</v>
      </c>
      <c r="B758" s="258" t="s">
        <v>1437</v>
      </c>
    </row>
    <row r="759" spans="1:2" x14ac:dyDescent="0.35">
      <c r="A759" s="258" t="s">
        <v>1438</v>
      </c>
      <c r="B759" s="258" t="s">
        <v>625</v>
      </c>
    </row>
    <row r="760" spans="1:2" x14ac:dyDescent="0.35">
      <c r="A760" s="258" t="s">
        <v>1439</v>
      </c>
      <c r="B760" s="258" t="s">
        <v>796</v>
      </c>
    </row>
    <row r="761" spans="1:2" x14ac:dyDescent="0.35">
      <c r="A761" s="258" t="s">
        <v>1440</v>
      </c>
      <c r="B761" s="258" t="s">
        <v>532</v>
      </c>
    </row>
    <row r="762" spans="1:2" x14ac:dyDescent="0.35">
      <c r="A762" s="258" t="s">
        <v>1441</v>
      </c>
      <c r="B762" s="258" t="s">
        <v>821</v>
      </c>
    </row>
    <row r="763" spans="1:2" x14ac:dyDescent="0.35">
      <c r="A763" s="258" t="s">
        <v>1442</v>
      </c>
      <c r="B763" s="258" t="s">
        <v>603</v>
      </c>
    </row>
    <row r="764" spans="1:2" x14ac:dyDescent="0.35">
      <c r="A764" s="258" t="s">
        <v>1443</v>
      </c>
      <c r="B764" s="258" t="s">
        <v>532</v>
      </c>
    </row>
    <row r="765" spans="1:2" x14ac:dyDescent="0.35">
      <c r="A765" s="258" t="s">
        <v>1444</v>
      </c>
      <c r="B765" s="258" t="s">
        <v>532</v>
      </c>
    </row>
    <row r="766" spans="1:2" x14ac:dyDescent="0.35">
      <c r="A766" s="258" t="s">
        <v>1445</v>
      </c>
      <c r="B766" s="258" t="s">
        <v>532</v>
      </c>
    </row>
    <row r="767" spans="1:2" x14ac:dyDescent="0.35">
      <c r="A767" s="258" t="s">
        <v>1446</v>
      </c>
      <c r="B767" s="258" t="s">
        <v>532</v>
      </c>
    </row>
    <row r="768" spans="1:2" x14ac:dyDescent="0.35">
      <c r="A768" s="258" t="s">
        <v>1447</v>
      </c>
      <c r="B768" s="258" t="s">
        <v>532</v>
      </c>
    </row>
    <row r="769" spans="1:2" x14ac:dyDescent="0.35">
      <c r="A769" s="258" t="s">
        <v>1448</v>
      </c>
      <c r="B769" s="258" t="s">
        <v>807</v>
      </c>
    </row>
    <row r="770" spans="1:2" x14ac:dyDescent="0.35">
      <c r="A770" s="258" t="s">
        <v>1449</v>
      </c>
      <c r="B770" s="258" t="s">
        <v>532</v>
      </c>
    </row>
    <row r="771" spans="1:2" x14ac:dyDescent="0.35">
      <c r="A771" s="258" t="s">
        <v>1450</v>
      </c>
      <c r="B771" s="258" t="s">
        <v>528</v>
      </c>
    </row>
    <row r="772" spans="1:2" x14ac:dyDescent="0.35">
      <c r="A772" s="258" t="s">
        <v>1451</v>
      </c>
      <c r="B772" s="258" t="s">
        <v>765</v>
      </c>
    </row>
    <row r="773" spans="1:2" x14ac:dyDescent="0.35">
      <c r="A773" s="258" t="s">
        <v>1452</v>
      </c>
      <c r="B773" s="258" t="s">
        <v>1453</v>
      </c>
    </row>
    <row r="774" spans="1:2" x14ac:dyDescent="0.35">
      <c r="A774" s="258" t="s">
        <v>1454</v>
      </c>
      <c r="B774" s="258" t="s">
        <v>1455</v>
      </c>
    </row>
    <row r="775" spans="1:2" x14ac:dyDescent="0.35">
      <c r="A775" s="258" t="s">
        <v>1456</v>
      </c>
      <c r="B775" s="258" t="s">
        <v>532</v>
      </c>
    </row>
    <row r="776" spans="1:2" x14ac:dyDescent="0.35">
      <c r="A776" s="258" t="s">
        <v>1457</v>
      </c>
      <c r="B776" s="258" t="s">
        <v>532</v>
      </c>
    </row>
    <row r="777" spans="1:2" x14ac:dyDescent="0.35">
      <c r="A777" s="258" t="s">
        <v>1458</v>
      </c>
      <c r="B777" s="258" t="s">
        <v>1459</v>
      </c>
    </row>
    <row r="778" spans="1:2" x14ac:dyDescent="0.35">
      <c r="A778" s="258" t="s">
        <v>1460</v>
      </c>
      <c r="B778" s="258" t="s">
        <v>532</v>
      </c>
    </row>
    <row r="779" spans="1:2" x14ac:dyDescent="0.35">
      <c r="A779" s="258" t="s">
        <v>1461</v>
      </c>
      <c r="B779" s="258" t="s">
        <v>960</v>
      </c>
    </row>
    <row r="780" spans="1:2" x14ac:dyDescent="0.35">
      <c r="A780" s="258" t="s">
        <v>1462</v>
      </c>
      <c r="B780" s="258" t="s">
        <v>675</v>
      </c>
    </row>
    <row r="781" spans="1:2" x14ac:dyDescent="0.35">
      <c r="A781" s="258" t="s">
        <v>1463</v>
      </c>
      <c r="B781" s="258" t="s">
        <v>675</v>
      </c>
    </row>
    <row r="782" spans="1:2" x14ac:dyDescent="0.35">
      <c r="A782" s="258" t="s">
        <v>1464</v>
      </c>
      <c r="B782" s="258" t="s">
        <v>623</v>
      </c>
    </row>
    <row r="783" spans="1:2" x14ac:dyDescent="0.35">
      <c r="A783" s="258" t="s">
        <v>1465</v>
      </c>
      <c r="B783" s="258" t="s">
        <v>1466</v>
      </c>
    </row>
    <row r="784" spans="1:2" x14ac:dyDescent="0.35">
      <c r="A784" s="258" t="s">
        <v>1467</v>
      </c>
      <c r="B784" s="258" t="s">
        <v>532</v>
      </c>
    </row>
    <row r="785" spans="1:2" x14ac:dyDescent="0.35">
      <c r="A785" s="258" t="s">
        <v>1468</v>
      </c>
      <c r="B785" s="258" t="s">
        <v>532</v>
      </c>
    </row>
    <row r="786" spans="1:2" x14ac:dyDescent="0.35">
      <c r="A786" s="258" t="s">
        <v>1469</v>
      </c>
      <c r="B786" s="258" t="s">
        <v>590</v>
      </c>
    </row>
    <row r="787" spans="1:2" x14ac:dyDescent="0.35">
      <c r="A787" s="258" t="s">
        <v>1470</v>
      </c>
      <c r="B787" s="258" t="s">
        <v>532</v>
      </c>
    </row>
    <row r="788" spans="1:2" x14ac:dyDescent="0.35">
      <c r="A788" s="258" t="s">
        <v>1471</v>
      </c>
      <c r="B788" s="258" t="s">
        <v>532</v>
      </c>
    </row>
    <row r="789" spans="1:2" x14ac:dyDescent="0.35">
      <c r="A789" s="258" t="s">
        <v>1472</v>
      </c>
      <c r="B789" s="258" t="s">
        <v>532</v>
      </c>
    </row>
    <row r="790" spans="1:2" x14ac:dyDescent="0.35">
      <c r="A790" s="258" t="s">
        <v>1473</v>
      </c>
      <c r="B790" s="258" t="s">
        <v>1474</v>
      </c>
    </row>
    <row r="791" spans="1:2" x14ac:dyDescent="0.35">
      <c r="A791" s="258" t="s">
        <v>1475</v>
      </c>
      <c r="B791" s="258" t="s">
        <v>757</v>
      </c>
    </row>
    <row r="792" spans="1:2" x14ac:dyDescent="0.35">
      <c r="A792" s="258" t="s">
        <v>1476</v>
      </c>
      <c r="B792" s="258" t="s">
        <v>625</v>
      </c>
    </row>
    <row r="793" spans="1:2" x14ac:dyDescent="0.35">
      <c r="A793" s="258" t="s">
        <v>1477</v>
      </c>
      <c r="B793" s="258" t="s">
        <v>1478</v>
      </c>
    </row>
    <row r="794" spans="1:2" x14ac:dyDescent="0.35">
      <c r="A794" s="258" t="s">
        <v>1479</v>
      </c>
      <c r="B794" s="258" t="s">
        <v>623</v>
      </c>
    </row>
    <row r="795" spans="1:2" x14ac:dyDescent="0.35">
      <c r="A795" s="258" t="s">
        <v>1480</v>
      </c>
      <c r="B795" s="258" t="s">
        <v>616</v>
      </c>
    </row>
    <row r="796" spans="1:2" x14ac:dyDescent="0.35">
      <c r="A796" s="258" t="s">
        <v>1481</v>
      </c>
      <c r="B796" s="258" t="s">
        <v>587</v>
      </c>
    </row>
    <row r="797" spans="1:2" x14ac:dyDescent="0.35">
      <c r="A797" s="258" t="s">
        <v>1482</v>
      </c>
      <c r="B797" s="258" t="s">
        <v>663</v>
      </c>
    </row>
    <row r="798" spans="1:2" x14ac:dyDescent="0.35">
      <c r="A798" s="258" t="s">
        <v>1483</v>
      </c>
      <c r="B798" s="258" t="s">
        <v>643</v>
      </c>
    </row>
    <row r="799" spans="1:2" x14ac:dyDescent="0.35">
      <c r="A799" s="258" t="s">
        <v>1484</v>
      </c>
      <c r="B799" s="258" t="s">
        <v>532</v>
      </c>
    </row>
    <row r="800" spans="1:2" x14ac:dyDescent="0.35">
      <c r="A800" s="258" t="s">
        <v>1485</v>
      </c>
      <c r="B800" s="258" t="s">
        <v>964</v>
      </c>
    </row>
    <row r="801" spans="1:2" x14ac:dyDescent="0.35">
      <c r="A801" s="258" t="s">
        <v>1486</v>
      </c>
      <c r="B801" s="258" t="s">
        <v>623</v>
      </c>
    </row>
    <row r="802" spans="1:2" x14ac:dyDescent="0.35">
      <c r="A802" s="258" t="s">
        <v>1487</v>
      </c>
      <c r="B802" s="258" t="s">
        <v>1200</v>
      </c>
    </row>
    <row r="803" spans="1:2" x14ac:dyDescent="0.35">
      <c r="A803" s="258" t="s">
        <v>1488</v>
      </c>
      <c r="B803" s="258" t="s">
        <v>1228</v>
      </c>
    </row>
    <row r="804" spans="1:2" x14ac:dyDescent="0.35">
      <c r="A804" s="258" t="s">
        <v>1489</v>
      </c>
      <c r="B804" s="258" t="s">
        <v>1362</v>
      </c>
    </row>
    <row r="805" spans="1:2" x14ac:dyDescent="0.35">
      <c r="A805" s="258" t="s">
        <v>1490</v>
      </c>
      <c r="B805" s="258" t="s">
        <v>1491</v>
      </c>
    </row>
    <row r="806" spans="1:2" x14ac:dyDescent="0.35">
      <c r="A806" s="258" t="s">
        <v>1492</v>
      </c>
      <c r="B806" s="258" t="s">
        <v>532</v>
      </c>
    </row>
    <row r="807" spans="1:2" x14ac:dyDescent="0.35">
      <c r="A807" s="258" t="s">
        <v>1493</v>
      </c>
      <c r="B807" s="258" t="s">
        <v>859</v>
      </c>
    </row>
    <row r="808" spans="1:2" x14ac:dyDescent="0.35">
      <c r="A808" s="258" t="s">
        <v>1494</v>
      </c>
      <c r="B808" s="258" t="s">
        <v>550</v>
      </c>
    </row>
    <row r="809" spans="1:2" x14ac:dyDescent="0.35">
      <c r="A809" s="258" t="s">
        <v>1495</v>
      </c>
      <c r="B809" s="258" t="s">
        <v>905</v>
      </c>
    </row>
    <row r="810" spans="1:2" x14ac:dyDescent="0.35">
      <c r="A810" s="258" t="s">
        <v>1496</v>
      </c>
      <c r="B810" s="258" t="s">
        <v>532</v>
      </c>
    </row>
    <row r="811" spans="1:2" x14ac:dyDescent="0.35">
      <c r="A811" s="258" t="s">
        <v>1497</v>
      </c>
      <c r="B811" s="258" t="s">
        <v>905</v>
      </c>
    </row>
    <row r="812" spans="1:2" x14ac:dyDescent="0.35">
      <c r="A812" s="258" t="s">
        <v>1498</v>
      </c>
      <c r="B812" s="258" t="s">
        <v>905</v>
      </c>
    </row>
    <row r="813" spans="1:2" x14ac:dyDescent="0.35">
      <c r="A813" s="258" t="s">
        <v>1499</v>
      </c>
      <c r="B813" s="258" t="s">
        <v>1500</v>
      </c>
    </row>
    <row r="814" spans="1:2" x14ac:dyDescent="0.35">
      <c r="A814" s="258" t="s">
        <v>1501</v>
      </c>
      <c r="B814" s="258" t="s">
        <v>765</v>
      </c>
    </row>
    <row r="815" spans="1:2" x14ac:dyDescent="0.35">
      <c r="A815" s="258" t="s">
        <v>1502</v>
      </c>
      <c r="B815" s="258" t="s">
        <v>675</v>
      </c>
    </row>
    <row r="816" spans="1:2" x14ac:dyDescent="0.35">
      <c r="A816" s="258" t="s">
        <v>1503</v>
      </c>
      <c r="B816" s="258" t="s">
        <v>675</v>
      </c>
    </row>
    <row r="817" spans="1:2" x14ac:dyDescent="0.35">
      <c r="A817" s="258" t="s">
        <v>1504</v>
      </c>
      <c r="B817" s="258" t="s">
        <v>587</v>
      </c>
    </row>
    <row r="818" spans="1:2" x14ac:dyDescent="0.35">
      <c r="A818" s="258" t="s">
        <v>1505</v>
      </c>
      <c r="B818" s="258" t="s">
        <v>623</v>
      </c>
    </row>
    <row r="819" spans="1:2" x14ac:dyDescent="0.35">
      <c r="A819" s="258" t="s">
        <v>1506</v>
      </c>
      <c r="B819" s="258" t="s">
        <v>612</v>
      </c>
    </row>
    <row r="820" spans="1:2" x14ac:dyDescent="0.35">
      <c r="A820" s="258" t="s">
        <v>1507</v>
      </c>
      <c r="B820" s="258" t="s">
        <v>587</v>
      </c>
    </row>
    <row r="821" spans="1:2" x14ac:dyDescent="0.35">
      <c r="A821" s="258" t="s">
        <v>1508</v>
      </c>
      <c r="B821" s="258" t="s">
        <v>874</v>
      </c>
    </row>
    <row r="822" spans="1:2" x14ac:dyDescent="0.35">
      <c r="A822" s="258" t="s">
        <v>1509</v>
      </c>
      <c r="B822" s="258" t="s">
        <v>546</v>
      </c>
    </row>
    <row r="823" spans="1:2" x14ac:dyDescent="0.35">
      <c r="A823" s="258" t="s">
        <v>1510</v>
      </c>
      <c r="B823" s="258" t="s">
        <v>745</v>
      </c>
    </row>
    <row r="824" spans="1:2" x14ac:dyDescent="0.35">
      <c r="A824" s="258" t="s">
        <v>1511</v>
      </c>
      <c r="B824" s="258" t="s">
        <v>623</v>
      </c>
    </row>
    <row r="825" spans="1:2" x14ac:dyDescent="0.35">
      <c r="A825" s="258" t="s">
        <v>1512</v>
      </c>
      <c r="B825" s="258" t="s">
        <v>905</v>
      </c>
    </row>
    <row r="826" spans="1:2" x14ac:dyDescent="0.35">
      <c r="A826" s="258" t="s">
        <v>1513</v>
      </c>
      <c r="B826" s="258" t="s">
        <v>537</v>
      </c>
    </row>
    <row r="827" spans="1:2" x14ac:dyDescent="0.35">
      <c r="A827" s="258" t="s">
        <v>1514</v>
      </c>
      <c r="B827" s="258" t="s">
        <v>579</v>
      </c>
    </row>
    <row r="828" spans="1:2" x14ac:dyDescent="0.35">
      <c r="A828" s="258" t="s">
        <v>1515</v>
      </c>
      <c r="B828" s="258" t="s">
        <v>623</v>
      </c>
    </row>
    <row r="829" spans="1:2" x14ac:dyDescent="0.35">
      <c r="A829" s="258" t="s">
        <v>1516</v>
      </c>
      <c r="B829" s="258" t="s">
        <v>532</v>
      </c>
    </row>
    <row r="830" spans="1:2" x14ac:dyDescent="0.35">
      <c r="A830" s="258" t="s">
        <v>1517</v>
      </c>
      <c r="B830" s="258" t="s">
        <v>575</v>
      </c>
    </row>
    <row r="831" spans="1:2" x14ac:dyDescent="0.35">
      <c r="A831" s="258" t="s">
        <v>1518</v>
      </c>
      <c r="B831" s="258" t="s">
        <v>590</v>
      </c>
    </row>
    <row r="832" spans="1:2" x14ac:dyDescent="0.35">
      <c r="A832" s="258" t="s">
        <v>1519</v>
      </c>
      <c r="B832" s="258" t="s">
        <v>532</v>
      </c>
    </row>
    <row r="833" spans="1:2" x14ac:dyDescent="0.35">
      <c r="A833" s="258" t="s">
        <v>1520</v>
      </c>
      <c r="B833" s="258" t="s">
        <v>1521</v>
      </c>
    </row>
    <row r="834" spans="1:2" x14ac:dyDescent="0.35">
      <c r="A834" s="258" t="s">
        <v>1522</v>
      </c>
      <c r="B834" s="258" t="s">
        <v>532</v>
      </c>
    </row>
    <row r="835" spans="1:2" x14ac:dyDescent="0.35">
      <c r="A835" s="258" t="s">
        <v>1523</v>
      </c>
      <c r="B835" s="258" t="s">
        <v>532</v>
      </c>
    </row>
    <row r="836" spans="1:2" x14ac:dyDescent="0.35">
      <c r="A836" s="258" t="s">
        <v>1524</v>
      </c>
      <c r="B836" s="258" t="s">
        <v>1388</v>
      </c>
    </row>
    <row r="837" spans="1:2" x14ac:dyDescent="0.35">
      <c r="A837" s="258" t="s">
        <v>1525</v>
      </c>
      <c r="B837" s="258" t="s">
        <v>1388</v>
      </c>
    </row>
    <row r="838" spans="1:2" x14ac:dyDescent="0.35">
      <c r="A838" s="258" t="s">
        <v>1526</v>
      </c>
      <c r="B838" s="258" t="s">
        <v>528</v>
      </c>
    </row>
    <row r="839" spans="1:2" x14ac:dyDescent="0.35">
      <c r="A839" s="258" t="s">
        <v>1527</v>
      </c>
      <c r="B839" s="258" t="s">
        <v>528</v>
      </c>
    </row>
    <row r="840" spans="1:2" x14ac:dyDescent="0.35">
      <c r="A840" s="258" t="s">
        <v>1528</v>
      </c>
      <c r="B840" s="258" t="s">
        <v>532</v>
      </c>
    </row>
    <row r="841" spans="1:2" x14ac:dyDescent="0.35">
      <c r="A841" s="258" t="s">
        <v>1529</v>
      </c>
      <c r="B841" s="258" t="s">
        <v>532</v>
      </c>
    </row>
    <row r="842" spans="1:2" x14ac:dyDescent="0.35">
      <c r="A842" s="258" t="s">
        <v>1530</v>
      </c>
      <c r="B842" s="258" t="s">
        <v>616</v>
      </c>
    </row>
    <row r="843" spans="1:2" x14ac:dyDescent="0.35">
      <c r="A843" s="258" t="s">
        <v>1531</v>
      </c>
      <c r="B843" s="258" t="s">
        <v>587</v>
      </c>
    </row>
    <row r="844" spans="1:2" x14ac:dyDescent="0.35">
      <c r="A844" s="258" t="s">
        <v>1532</v>
      </c>
      <c r="B844" s="258" t="s">
        <v>526</v>
      </c>
    </row>
    <row r="845" spans="1:2" x14ac:dyDescent="0.35">
      <c r="A845" s="258" t="s">
        <v>1533</v>
      </c>
      <c r="B845" s="258" t="s">
        <v>1534</v>
      </c>
    </row>
    <row r="846" spans="1:2" x14ac:dyDescent="0.35">
      <c r="A846" s="258" t="s">
        <v>1535</v>
      </c>
      <c r="B846" s="258" t="s">
        <v>623</v>
      </c>
    </row>
    <row r="847" spans="1:2" x14ac:dyDescent="0.35">
      <c r="A847" s="258" t="s">
        <v>1536</v>
      </c>
      <c r="B847" s="258" t="s">
        <v>532</v>
      </c>
    </row>
    <row r="848" spans="1:2" x14ac:dyDescent="0.35">
      <c r="A848" s="258" t="s">
        <v>1537</v>
      </c>
      <c r="B848" s="258" t="s">
        <v>739</v>
      </c>
    </row>
    <row r="849" spans="1:2" x14ac:dyDescent="0.35">
      <c r="A849" s="258" t="s">
        <v>1538</v>
      </c>
      <c r="B849" s="258" t="s">
        <v>532</v>
      </c>
    </row>
    <row r="850" spans="1:2" x14ac:dyDescent="0.35">
      <c r="A850" s="258" t="s">
        <v>1539</v>
      </c>
      <c r="B850" s="258" t="s">
        <v>532</v>
      </c>
    </row>
    <row r="851" spans="1:2" x14ac:dyDescent="0.35">
      <c r="A851" s="258" t="s">
        <v>1540</v>
      </c>
      <c r="B851" s="258" t="s">
        <v>701</v>
      </c>
    </row>
    <row r="852" spans="1:2" x14ac:dyDescent="0.35">
      <c r="A852" s="258" t="s">
        <v>1541</v>
      </c>
      <c r="B852" s="258" t="s">
        <v>532</v>
      </c>
    </row>
    <row r="853" spans="1:2" x14ac:dyDescent="0.35">
      <c r="A853" s="258" t="s">
        <v>1542</v>
      </c>
      <c r="B853" s="258" t="s">
        <v>1006</v>
      </c>
    </row>
    <row r="854" spans="1:2" x14ac:dyDescent="0.35">
      <c r="A854" s="258" t="s">
        <v>1543</v>
      </c>
      <c r="B854" s="258" t="s">
        <v>532</v>
      </c>
    </row>
    <row r="855" spans="1:2" x14ac:dyDescent="0.35">
      <c r="A855" s="258" t="s">
        <v>1544</v>
      </c>
      <c r="B855" s="258" t="s">
        <v>532</v>
      </c>
    </row>
    <row r="856" spans="1:2" x14ac:dyDescent="0.35">
      <c r="A856" s="258" t="s">
        <v>1545</v>
      </c>
      <c r="B856" s="258" t="s">
        <v>528</v>
      </c>
    </row>
    <row r="857" spans="1:2" x14ac:dyDescent="0.35">
      <c r="A857" s="258" t="s">
        <v>1546</v>
      </c>
      <c r="B857" s="258" t="s">
        <v>532</v>
      </c>
    </row>
    <row r="858" spans="1:2" x14ac:dyDescent="0.35">
      <c r="A858" s="258" t="s">
        <v>1547</v>
      </c>
      <c r="B858" s="258" t="s">
        <v>643</v>
      </c>
    </row>
    <row r="859" spans="1:2" x14ac:dyDescent="0.35">
      <c r="A859" s="258" t="s">
        <v>1548</v>
      </c>
      <c r="B859" s="258" t="s">
        <v>1549</v>
      </c>
    </row>
    <row r="860" spans="1:2" x14ac:dyDescent="0.35">
      <c r="A860" s="258" t="s">
        <v>1550</v>
      </c>
      <c r="B860" s="258" t="s">
        <v>878</v>
      </c>
    </row>
    <row r="861" spans="1:2" x14ac:dyDescent="0.35">
      <c r="A861" s="258" t="s">
        <v>1551</v>
      </c>
      <c r="B861" s="258" t="s">
        <v>1048</v>
      </c>
    </row>
    <row r="862" spans="1:2" x14ac:dyDescent="0.35">
      <c r="A862" s="258" t="s">
        <v>1552</v>
      </c>
      <c r="B862" s="258" t="s">
        <v>1048</v>
      </c>
    </row>
    <row r="863" spans="1:2" x14ac:dyDescent="0.35">
      <c r="A863" s="258" t="s">
        <v>1553</v>
      </c>
      <c r="B863" s="258" t="s">
        <v>1185</v>
      </c>
    </row>
    <row r="864" spans="1:2" x14ac:dyDescent="0.35">
      <c r="A864" s="258" t="s">
        <v>1554</v>
      </c>
      <c r="B864" s="258" t="s">
        <v>663</v>
      </c>
    </row>
    <row r="865" spans="1:2" x14ac:dyDescent="0.35">
      <c r="A865" s="258" t="s">
        <v>1555</v>
      </c>
      <c r="B865" s="258" t="s">
        <v>1226</v>
      </c>
    </row>
    <row r="866" spans="1:2" x14ac:dyDescent="0.35">
      <c r="A866" s="258" t="s">
        <v>1556</v>
      </c>
      <c r="B866" s="258" t="s">
        <v>1226</v>
      </c>
    </row>
    <row r="867" spans="1:2" x14ac:dyDescent="0.35">
      <c r="A867" s="258" t="s">
        <v>1557</v>
      </c>
      <c r="B867" s="258" t="s">
        <v>1028</v>
      </c>
    </row>
    <row r="868" spans="1:2" x14ac:dyDescent="0.35">
      <c r="A868" s="258" t="s">
        <v>1558</v>
      </c>
      <c r="B868" s="258" t="s">
        <v>532</v>
      </c>
    </row>
    <row r="869" spans="1:2" x14ac:dyDescent="0.35">
      <c r="A869" s="258" t="s">
        <v>1559</v>
      </c>
      <c r="B869" s="258" t="s">
        <v>532</v>
      </c>
    </row>
    <row r="870" spans="1:2" x14ac:dyDescent="0.35">
      <c r="A870" s="258" t="s">
        <v>1560</v>
      </c>
      <c r="B870" s="258" t="s">
        <v>1561</v>
      </c>
    </row>
    <row r="871" spans="1:2" x14ac:dyDescent="0.35">
      <c r="A871" s="258" t="s">
        <v>1562</v>
      </c>
      <c r="B871" s="258" t="s">
        <v>585</v>
      </c>
    </row>
    <row r="872" spans="1:2" x14ac:dyDescent="0.35">
      <c r="A872" s="258" t="s">
        <v>1563</v>
      </c>
      <c r="B872" s="258" t="s">
        <v>796</v>
      </c>
    </row>
    <row r="873" spans="1:2" x14ac:dyDescent="0.35">
      <c r="A873" s="258" t="s">
        <v>1564</v>
      </c>
      <c r="B873" s="258" t="s">
        <v>1048</v>
      </c>
    </row>
    <row r="874" spans="1:2" x14ac:dyDescent="0.35">
      <c r="A874" s="258" t="s">
        <v>1565</v>
      </c>
      <c r="B874" s="258" t="s">
        <v>587</v>
      </c>
    </row>
    <row r="875" spans="1:2" x14ac:dyDescent="0.35">
      <c r="A875" s="258" t="s">
        <v>1566</v>
      </c>
      <c r="B875" s="258" t="s">
        <v>1226</v>
      </c>
    </row>
    <row r="876" spans="1:2" x14ac:dyDescent="0.35">
      <c r="A876" s="258" t="s">
        <v>1567</v>
      </c>
      <c r="B876" s="258" t="s">
        <v>1226</v>
      </c>
    </row>
    <row r="877" spans="1:2" x14ac:dyDescent="0.35">
      <c r="A877" s="258" t="s">
        <v>1568</v>
      </c>
      <c r="B877" s="258" t="s">
        <v>575</v>
      </c>
    </row>
    <row r="878" spans="1:2" x14ac:dyDescent="0.35">
      <c r="A878" s="258" t="s">
        <v>1569</v>
      </c>
      <c r="B878" s="258" t="s">
        <v>572</v>
      </c>
    </row>
    <row r="879" spans="1:2" x14ac:dyDescent="0.35">
      <c r="A879" s="258" t="s">
        <v>1570</v>
      </c>
      <c r="B879" s="258" t="s">
        <v>1039</v>
      </c>
    </row>
    <row r="880" spans="1:2" x14ac:dyDescent="0.35">
      <c r="A880" s="258" t="s">
        <v>1571</v>
      </c>
      <c r="B880" s="258" t="s">
        <v>537</v>
      </c>
    </row>
    <row r="881" spans="1:2" x14ac:dyDescent="0.35">
      <c r="A881" s="258" t="s">
        <v>1572</v>
      </c>
      <c r="B881" s="258" t="s">
        <v>537</v>
      </c>
    </row>
    <row r="882" spans="1:2" x14ac:dyDescent="0.35">
      <c r="A882" s="258" t="s">
        <v>1573</v>
      </c>
      <c r="B882" s="258" t="s">
        <v>537</v>
      </c>
    </row>
    <row r="883" spans="1:2" x14ac:dyDescent="0.35">
      <c r="A883" s="258" t="s">
        <v>1574</v>
      </c>
      <c r="B883" s="258" t="s">
        <v>1575</v>
      </c>
    </row>
    <row r="884" spans="1:2" x14ac:dyDescent="0.35">
      <c r="A884" s="258" t="s">
        <v>1576</v>
      </c>
      <c r="B884" s="258" t="s">
        <v>1500</v>
      </c>
    </row>
    <row r="885" spans="1:2" x14ac:dyDescent="0.35">
      <c r="A885" s="258" t="s">
        <v>1577</v>
      </c>
      <c r="B885" s="258" t="s">
        <v>614</v>
      </c>
    </row>
    <row r="886" spans="1:2" x14ac:dyDescent="0.35">
      <c r="A886" s="258" t="s">
        <v>1578</v>
      </c>
      <c r="B886" s="258" t="s">
        <v>534</v>
      </c>
    </row>
    <row r="887" spans="1:2" x14ac:dyDescent="0.35">
      <c r="A887" s="258" t="s">
        <v>1579</v>
      </c>
      <c r="B887" s="258" t="s">
        <v>616</v>
      </c>
    </row>
    <row r="888" spans="1:2" x14ac:dyDescent="0.35">
      <c r="A888" s="258" t="s">
        <v>1580</v>
      </c>
      <c r="B888" s="258" t="s">
        <v>572</v>
      </c>
    </row>
    <row r="889" spans="1:2" x14ac:dyDescent="0.35">
      <c r="A889" s="258" t="s">
        <v>1581</v>
      </c>
      <c r="B889" s="258" t="s">
        <v>572</v>
      </c>
    </row>
    <row r="890" spans="1:2" x14ac:dyDescent="0.35">
      <c r="A890" s="258" t="s">
        <v>1582</v>
      </c>
      <c r="B890" s="258" t="s">
        <v>572</v>
      </c>
    </row>
    <row r="891" spans="1:2" x14ac:dyDescent="0.35">
      <c r="A891" s="258" t="s">
        <v>1583</v>
      </c>
      <c r="B891" s="258" t="s">
        <v>572</v>
      </c>
    </row>
    <row r="892" spans="1:2" x14ac:dyDescent="0.35">
      <c r="A892" s="258" t="s">
        <v>1584</v>
      </c>
      <c r="B892" s="258" t="s">
        <v>526</v>
      </c>
    </row>
    <row r="893" spans="1:2" x14ac:dyDescent="0.35">
      <c r="A893" s="258" t="s">
        <v>1585</v>
      </c>
      <c r="B893" s="258" t="s">
        <v>1048</v>
      </c>
    </row>
    <row r="894" spans="1:2" x14ac:dyDescent="0.35">
      <c r="A894" s="258" t="s">
        <v>1586</v>
      </c>
      <c r="B894" s="258" t="s">
        <v>750</v>
      </c>
    </row>
    <row r="895" spans="1:2" x14ac:dyDescent="0.35">
      <c r="A895" s="258" t="s">
        <v>1587</v>
      </c>
      <c r="B895" s="258" t="s">
        <v>1588</v>
      </c>
    </row>
    <row r="896" spans="1:2" x14ac:dyDescent="0.35">
      <c r="A896" s="258" t="s">
        <v>1589</v>
      </c>
      <c r="B896" s="258" t="s">
        <v>1264</v>
      </c>
    </row>
    <row r="897" spans="1:2" x14ac:dyDescent="0.35">
      <c r="A897" s="258" t="s">
        <v>1590</v>
      </c>
      <c r="B897" s="258" t="s">
        <v>944</v>
      </c>
    </row>
    <row r="898" spans="1:2" x14ac:dyDescent="0.35">
      <c r="A898" s="258" t="s">
        <v>1591</v>
      </c>
      <c r="B898" s="258" t="s">
        <v>1048</v>
      </c>
    </row>
    <row r="899" spans="1:2" x14ac:dyDescent="0.35">
      <c r="A899" s="258" t="s">
        <v>1592</v>
      </c>
      <c r="B899" s="258" t="s">
        <v>616</v>
      </c>
    </row>
    <row r="900" spans="1:2" x14ac:dyDescent="0.35">
      <c r="A900" s="258" t="s">
        <v>1593</v>
      </c>
      <c r="B900" s="258" t="s">
        <v>534</v>
      </c>
    </row>
    <row r="901" spans="1:2" x14ac:dyDescent="0.35">
      <c r="A901" s="258" t="s">
        <v>1594</v>
      </c>
      <c r="B901" s="258" t="s">
        <v>925</v>
      </c>
    </row>
    <row r="902" spans="1:2" x14ac:dyDescent="0.35">
      <c r="A902" s="258" t="s">
        <v>1595</v>
      </c>
      <c r="B902" s="258" t="s">
        <v>1226</v>
      </c>
    </row>
    <row r="903" spans="1:2" x14ac:dyDescent="0.35">
      <c r="A903" s="258" t="s">
        <v>1596</v>
      </c>
      <c r="B903" s="258" t="s">
        <v>1597</v>
      </c>
    </row>
    <row r="904" spans="1:2" x14ac:dyDescent="0.35">
      <c r="A904" s="258" t="s">
        <v>1598</v>
      </c>
      <c r="B904" s="258" t="s">
        <v>532</v>
      </c>
    </row>
    <row r="905" spans="1:2" x14ac:dyDescent="0.35">
      <c r="A905" s="258" t="s">
        <v>1599</v>
      </c>
      <c r="B905" s="258" t="s">
        <v>1600</v>
      </c>
    </row>
    <row r="906" spans="1:2" x14ac:dyDescent="0.35">
      <c r="A906" s="258" t="s">
        <v>1601</v>
      </c>
      <c r="B906" s="258" t="s">
        <v>792</v>
      </c>
    </row>
    <row r="907" spans="1:2" x14ac:dyDescent="0.35">
      <c r="A907" s="258" t="s">
        <v>1602</v>
      </c>
      <c r="B907" s="258" t="s">
        <v>944</v>
      </c>
    </row>
    <row r="908" spans="1:2" x14ac:dyDescent="0.35">
      <c r="A908" s="258" t="s">
        <v>1603</v>
      </c>
      <c r="B908" s="258" t="s">
        <v>572</v>
      </c>
    </row>
    <row r="909" spans="1:2" x14ac:dyDescent="0.35">
      <c r="A909" s="258" t="s">
        <v>1604</v>
      </c>
      <c r="B909" s="258" t="s">
        <v>974</v>
      </c>
    </row>
    <row r="910" spans="1:2" x14ac:dyDescent="0.35">
      <c r="A910" s="258" t="s">
        <v>1605</v>
      </c>
      <c r="B910" s="258" t="s">
        <v>1606</v>
      </c>
    </row>
    <row r="911" spans="1:2" x14ac:dyDescent="0.35">
      <c r="A911" s="258" t="s">
        <v>1607</v>
      </c>
      <c r="B911" s="258" t="s">
        <v>532</v>
      </c>
    </row>
    <row r="912" spans="1:2" x14ac:dyDescent="0.35">
      <c r="A912" s="258" t="s">
        <v>1608</v>
      </c>
      <c r="B912" s="258" t="s">
        <v>540</v>
      </c>
    </row>
    <row r="913" spans="1:2" x14ac:dyDescent="0.35">
      <c r="A913" s="258" t="s">
        <v>1609</v>
      </c>
      <c r="B913" s="258" t="s">
        <v>534</v>
      </c>
    </row>
    <row r="914" spans="1:2" x14ac:dyDescent="0.35">
      <c r="A914" s="258" t="s">
        <v>1610</v>
      </c>
      <c r="B914" s="258" t="s">
        <v>623</v>
      </c>
    </row>
    <row r="915" spans="1:2" x14ac:dyDescent="0.35">
      <c r="A915" s="258" t="s">
        <v>1611</v>
      </c>
      <c r="B915" s="258" t="s">
        <v>532</v>
      </c>
    </row>
    <row r="916" spans="1:2" x14ac:dyDescent="0.35">
      <c r="A916" s="258" t="s">
        <v>1612</v>
      </c>
      <c r="B916" s="258" t="s">
        <v>590</v>
      </c>
    </row>
    <row r="917" spans="1:2" x14ac:dyDescent="0.35">
      <c r="A917" s="258" t="s">
        <v>1613</v>
      </c>
      <c r="B917" s="258" t="s">
        <v>1478</v>
      </c>
    </row>
    <row r="918" spans="1:2" x14ac:dyDescent="0.35">
      <c r="A918" s="258" t="s">
        <v>1614</v>
      </c>
      <c r="B918" s="258" t="s">
        <v>1534</v>
      </c>
    </row>
    <row r="919" spans="1:2" x14ac:dyDescent="0.35">
      <c r="A919" s="258" t="s">
        <v>1615</v>
      </c>
      <c r="B919" s="258" t="s">
        <v>590</v>
      </c>
    </row>
    <row r="920" spans="1:2" x14ac:dyDescent="0.35">
      <c r="A920" s="258" t="s">
        <v>1616</v>
      </c>
      <c r="B920" s="258" t="s">
        <v>532</v>
      </c>
    </row>
    <row r="921" spans="1:2" x14ac:dyDescent="0.35">
      <c r="A921" s="258" t="s">
        <v>1617</v>
      </c>
      <c r="B921" s="258" t="s">
        <v>757</v>
      </c>
    </row>
    <row r="922" spans="1:2" x14ac:dyDescent="0.35">
      <c r="A922" s="258" t="s">
        <v>1618</v>
      </c>
      <c r="B922" s="258" t="s">
        <v>699</v>
      </c>
    </row>
    <row r="923" spans="1:2" x14ac:dyDescent="0.35">
      <c r="A923" s="258" t="s">
        <v>1619</v>
      </c>
      <c r="B923" s="258" t="s">
        <v>534</v>
      </c>
    </row>
    <row r="924" spans="1:2" x14ac:dyDescent="0.35">
      <c r="A924" s="258" t="s">
        <v>1620</v>
      </c>
      <c r="B924" s="258" t="s">
        <v>532</v>
      </c>
    </row>
    <row r="925" spans="1:2" x14ac:dyDescent="0.35">
      <c r="A925" s="258" t="s">
        <v>1621</v>
      </c>
      <c r="B925" s="258" t="s">
        <v>532</v>
      </c>
    </row>
    <row r="926" spans="1:2" x14ac:dyDescent="0.35">
      <c r="A926" s="258" t="s">
        <v>1622</v>
      </c>
      <c r="B926" s="258" t="s">
        <v>1416</v>
      </c>
    </row>
    <row r="927" spans="1:2" x14ac:dyDescent="0.35">
      <c r="A927" s="258" t="s">
        <v>1623</v>
      </c>
      <c r="B927" s="258" t="s">
        <v>1624</v>
      </c>
    </row>
    <row r="928" spans="1:2" x14ac:dyDescent="0.35">
      <c r="A928" s="258" t="s">
        <v>1625</v>
      </c>
      <c r="B928" s="258" t="s">
        <v>757</v>
      </c>
    </row>
    <row r="929" spans="1:2" x14ac:dyDescent="0.35">
      <c r="A929" s="258" t="s">
        <v>1626</v>
      </c>
      <c r="B929" s="258" t="s">
        <v>534</v>
      </c>
    </row>
    <row r="930" spans="1:2" x14ac:dyDescent="0.35">
      <c r="A930" s="258" t="s">
        <v>1627</v>
      </c>
      <c r="B930" s="258" t="s">
        <v>532</v>
      </c>
    </row>
    <row r="931" spans="1:2" x14ac:dyDescent="0.35">
      <c r="A931" s="258" t="s">
        <v>1628</v>
      </c>
      <c r="B931" s="258" t="s">
        <v>532</v>
      </c>
    </row>
    <row r="932" spans="1:2" x14ac:dyDescent="0.35">
      <c r="A932" s="258" t="s">
        <v>1629</v>
      </c>
      <c r="B932" s="258" t="s">
        <v>532</v>
      </c>
    </row>
    <row r="933" spans="1:2" x14ac:dyDescent="0.35">
      <c r="A933" s="258" t="s">
        <v>1630</v>
      </c>
      <c r="B933" s="258" t="s">
        <v>663</v>
      </c>
    </row>
    <row r="934" spans="1:2" x14ac:dyDescent="0.35">
      <c r="A934" s="258" t="s">
        <v>1631</v>
      </c>
      <c r="B934" s="258" t="s">
        <v>579</v>
      </c>
    </row>
    <row r="935" spans="1:2" x14ac:dyDescent="0.35">
      <c r="A935" s="258" t="s">
        <v>1632</v>
      </c>
      <c r="B935" s="258" t="s">
        <v>532</v>
      </c>
    </row>
    <row r="936" spans="1:2" x14ac:dyDescent="0.35">
      <c r="A936" s="258" t="s">
        <v>1633</v>
      </c>
      <c r="B936" s="258" t="s">
        <v>532</v>
      </c>
    </row>
    <row r="937" spans="1:2" x14ac:dyDescent="0.35">
      <c r="A937" s="258" t="s">
        <v>1634</v>
      </c>
      <c r="B937" s="258" t="s">
        <v>1188</v>
      </c>
    </row>
    <row r="938" spans="1:2" x14ac:dyDescent="0.35">
      <c r="A938" s="258" t="s">
        <v>1635</v>
      </c>
      <c r="B938" s="258" t="s">
        <v>540</v>
      </c>
    </row>
    <row r="939" spans="1:2" x14ac:dyDescent="0.35">
      <c r="A939" s="258" t="s">
        <v>1636</v>
      </c>
      <c r="B939" s="258" t="s">
        <v>540</v>
      </c>
    </row>
    <row r="940" spans="1:2" x14ac:dyDescent="0.35">
      <c r="A940" s="258" t="s">
        <v>1637</v>
      </c>
      <c r="B940" s="258" t="s">
        <v>540</v>
      </c>
    </row>
    <row r="941" spans="1:2" x14ac:dyDescent="0.35">
      <c r="A941" s="258" t="s">
        <v>1638</v>
      </c>
      <c r="B941" s="258" t="s">
        <v>540</v>
      </c>
    </row>
    <row r="942" spans="1:2" x14ac:dyDescent="0.35">
      <c r="A942" s="258" t="s">
        <v>1639</v>
      </c>
      <c r="B942" s="258" t="s">
        <v>532</v>
      </c>
    </row>
    <row r="943" spans="1:2" x14ac:dyDescent="0.35">
      <c r="A943" s="258" t="s">
        <v>1640</v>
      </c>
      <c r="B943" s="258" t="s">
        <v>532</v>
      </c>
    </row>
    <row r="944" spans="1:2" x14ac:dyDescent="0.35">
      <c r="A944" s="258" t="s">
        <v>1641</v>
      </c>
      <c r="B944" s="258" t="s">
        <v>532</v>
      </c>
    </row>
    <row r="945" spans="1:2" x14ac:dyDescent="0.35">
      <c r="A945" s="258" t="s">
        <v>1642</v>
      </c>
      <c r="B945" s="258" t="s">
        <v>1437</v>
      </c>
    </row>
    <row r="946" spans="1:2" x14ac:dyDescent="0.35">
      <c r="A946" s="258" t="s">
        <v>1643</v>
      </c>
      <c r="B946" s="258" t="s">
        <v>874</v>
      </c>
    </row>
    <row r="947" spans="1:2" x14ac:dyDescent="0.35">
      <c r="A947" s="258" t="s">
        <v>1644</v>
      </c>
      <c r="B947" s="258" t="s">
        <v>1001</v>
      </c>
    </row>
    <row r="948" spans="1:2" x14ac:dyDescent="0.35">
      <c r="A948" s="258" t="s">
        <v>1645</v>
      </c>
      <c r="B948" s="258" t="s">
        <v>532</v>
      </c>
    </row>
    <row r="949" spans="1:2" x14ac:dyDescent="0.35">
      <c r="A949" s="258" t="s">
        <v>1646</v>
      </c>
      <c r="B949" s="258" t="s">
        <v>550</v>
      </c>
    </row>
    <row r="950" spans="1:2" x14ac:dyDescent="0.35">
      <c r="A950" s="258" t="s">
        <v>1647</v>
      </c>
      <c r="B950" s="258" t="s">
        <v>925</v>
      </c>
    </row>
    <row r="951" spans="1:2" x14ac:dyDescent="0.35">
      <c r="A951" s="258" t="s">
        <v>1648</v>
      </c>
      <c r="B951" s="258" t="s">
        <v>532</v>
      </c>
    </row>
    <row r="952" spans="1:2" x14ac:dyDescent="0.35">
      <c r="A952" s="258" t="s">
        <v>1649</v>
      </c>
      <c r="B952" s="258" t="s">
        <v>526</v>
      </c>
    </row>
    <row r="953" spans="1:2" x14ac:dyDescent="0.35">
      <c r="A953" s="258" t="s">
        <v>1650</v>
      </c>
      <c r="B953" s="258" t="s">
        <v>526</v>
      </c>
    </row>
    <row r="954" spans="1:2" x14ac:dyDescent="0.35">
      <c r="A954" s="258" t="s">
        <v>1651</v>
      </c>
      <c r="B954" s="258" t="s">
        <v>532</v>
      </c>
    </row>
    <row r="955" spans="1:2" x14ac:dyDescent="0.35">
      <c r="A955" s="258" t="s">
        <v>1652</v>
      </c>
      <c r="B955" s="258" t="s">
        <v>532</v>
      </c>
    </row>
    <row r="956" spans="1:2" x14ac:dyDescent="0.35">
      <c r="A956" s="258" t="s">
        <v>1653</v>
      </c>
      <c r="B956" s="258" t="s">
        <v>685</v>
      </c>
    </row>
    <row r="957" spans="1:2" x14ac:dyDescent="0.35">
      <c r="A957" s="258" t="s">
        <v>1654</v>
      </c>
      <c r="B957" s="258" t="s">
        <v>532</v>
      </c>
    </row>
    <row r="958" spans="1:2" x14ac:dyDescent="0.35">
      <c r="A958" s="258" t="s">
        <v>1655</v>
      </c>
      <c r="B958" s="258" t="s">
        <v>905</v>
      </c>
    </row>
    <row r="959" spans="1:2" x14ac:dyDescent="0.35">
      <c r="A959" s="258" t="s">
        <v>1656</v>
      </c>
      <c r="B959" s="258" t="s">
        <v>974</v>
      </c>
    </row>
    <row r="960" spans="1:2" x14ac:dyDescent="0.35">
      <c r="A960" s="258" t="s">
        <v>1657</v>
      </c>
      <c r="B960" s="258" t="s">
        <v>532</v>
      </c>
    </row>
    <row r="961" spans="1:2" x14ac:dyDescent="0.35">
      <c r="A961" s="258" t="s">
        <v>1658</v>
      </c>
      <c r="B961" s="258" t="s">
        <v>532</v>
      </c>
    </row>
    <row r="962" spans="1:2" x14ac:dyDescent="0.35">
      <c r="A962" s="258" t="s">
        <v>1659</v>
      </c>
      <c r="B962" s="258" t="s">
        <v>532</v>
      </c>
    </row>
    <row r="963" spans="1:2" x14ac:dyDescent="0.35">
      <c r="A963" s="258" t="s">
        <v>1660</v>
      </c>
      <c r="B963" s="258" t="s">
        <v>532</v>
      </c>
    </row>
    <row r="964" spans="1:2" x14ac:dyDescent="0.35">
      <c r="A964" s="258" t="s">
        <v>1661</v>
      </c>
      <c r="B964" s="258" t="s">
        <v>1426</v>
      </c>
    </row>
    <row r="965" spans="1:2" x14ac:dyDescent="0.35">
      <c r="A965" s="258" t="s">
        <v>1662</v>
      </c>
      <c r="B965" s="258" t="s">
        <v>532</v>
      </c>
    </row>
    <row r="966" spans="1:2" x14ac:dyDescent="0.35">
      <c r="A966" s="258" t="s">
        <v>1663</v>
      </c>
      <c r="B966" s="258" t="s">
        <v>667</v>
      </c>
    </row>
    <row r="967" spans="1:2" x14ac:dyDescent="0.35">
      <c r="A967" s="258" t="s">
        <v>1664</v>
      </c>
      <c r="B967" s="258" t="s">
        <v>1018</v>
      </c>
    </row>
    <row r="968" spans="1:2" x14ac:dyDescent="0.35">
      <c r="A968" s="258" t="s">
        <v>1665</v>
      </c>
      <c r="B968" s="258" t="s">
        <v>670</v>
      </c>
    </row>
    <row r="969" spans="1:2" x14ac:dyDescent="0.35">
      <c r="A969" s="258" t="s">
        <v>1666</v>
      </c>
      <c r="B969" s="258" t="s">
        <v>532</v>
      </c>
    </row>
    <row r="970" spans="1:2" x14ac:dyDescent="0.35">
      <c r="A970" s="258" t="s">
        <v>1667</v>
      </c>
      <c r="B970" s="258" t="s">
        <v>646</v>
      </c>
    </row>
    <row r="971" spans="1:2" x14ac:dyDescent="0.35">
      <c r="A971" s="258" t="s">
        <v>1668</v>
      </c>
      <c r="B971" s="258" t="s">
        <v>546</v>
      </c>
    </row>
    <row r="972" spans="1:2" x14ac:dyDescent="0.35">
      <c r="A972" s="258" t="s">
        <v>1669</v>
      </c>
      <c r="B972" s="258" t="s">
        <v>774</v>
      </c>
    </row>
    <row r="973" spans="1:2" x14ac:dyDescent="0.35">
      <c r="A973" s="258" t="s">
        <v>1670</v>
      </c>
      <c r="B973" s="258" t="s">
        <v>616</v>
      </c>
    </row>
    <row r="974" spans="1:2" x14ac:dyDescent="0.35">
      <c r="A974" s="258" t="s">
        <v>1671</v>
      </c>
      <c r="B974" s="258" t="s">
        <v>616</v>
      </c>
    </row>
    <row r="975" spans="1:2" x14ac:dyDescent="0.35">
      <c r="A975" s="258" t="s">
        <v>1672</v>
      </c>
      <c r="B975" s="258" t="s">
        <v>532</v>
      </c>
    </row>
    <row r="976" spans="1:2" x14ac:dyDescent="0.35">
      <c r="A976" s="258" t="s">
        <v>1673</v>
      </c>
      <c r="B976" s="258" t="s">
        <v>665</v>
      </c>
    </row>
    <row r="977" spans="1:2" x14ac:dyDescent="0.35">
      <c r="A977" s="258" t="s">
        <v>1674</v>
      </c>
      <c r="B977" s="258" t="s">
        <v>1675</v>
      </c>
    </row>
    <row r="978" spans="1:2" x14ac:dyDescent="0.35">
      <c r="A978" s="258" t="s">
        <v>1676</v>
      </c>
      <c r="B978" s="258" t="s">
        <v>532</v>
      </c>
    </row>
    <row r="979" spans="1:2" x14ac:dyDescent="0.35">
      <c r="A979" s="258" t="s">
        <v>1677</v>
      </c>
      <c r="B979" s="258" t="s">
        <v>905</v>
      </c>
    </row>
    <row r="980" spans="1:2" x14ac:dyDescent="0.35">
      <c r="A980" s="258" t="s">
        <v>1678</v>
      </c>
      <c r="B980" s="258" t="s">
        <v>616</v>
      </c>
    </row>
    <row r="981" spans="1:2" x14ac:dyDescent="0.35">
      <c r="A981" s="258" t="s">
        <v>1679</v>
      </c>
      <c r="B981" s="258" t="s">
        <v>595</v>
      </c>
    </row>
    <row r="982" spans="1:2" x14ac:dyDescent="0.35">
      <c r="A982" s="258" t="s">
        <v>1680</v>
      </c>
      <c r="B982" s="258" t="s">
        <v>532</v>
      </c>
    </row>
    <row r="983" spans="1:2" x14ac:dyDescent="0.35">
      <c r="A983" s="258" t="s">
        <v>1681</v>
      </c>
      <c r="B983" s="258" t="s">
        <v>710</v>
      </c>
    </row>
    <row r="984" spans="1:2" x14ac:dyDescent="0.35">
      <c r="A984" s="258" t="s">
        <v>1682</v>
      </c>
      <c r="B984" s="258" t="s">
        <v>710</v>
      </c>
    </row>
    <row r="985" spans="1:2" x14ac:dyDescent="0.35">
      <c r="A985" s="258" t="s">
        <v>1683</v>
      </c>
      <c r="B985" s="258" t="s">
        <v>540</v>
      </c>
    </row>
    <row r="986" spans="1:2" x14ac:dyDescent="0.35">
      <c r="A986" s="258" t="s">
        <v>1684</v>
      </c>
      <c r="B986" s="258" t="s">
        <v>1685</v>
      </c>
    </row>
    <row r="987" spans="1:2" x14ac:dyDescent="0.35">
      <c r="A987" s="258" t="s">
        <v>1686</v>
      </c>
      <c r="B987" s="258" t="s">
        <v>1185</v>
      </c>
    </row>
    <row r="988" spans="1:2" x14ac:dyDescent="0.35">
      <c r="A988" s="258" t="s">
        <v>1687</v>
      </c>
      <c r="B988" s="258" t="s">
        <v>532</v>
      </c>
    </row>
    <row r="989" spans="1:2" x14ac:dyDescent="0.35">
      <c r="A989" s="258" t="s">
        <v>1688</v>
      </c>
      <c r="B989" s="258" t="s">
        <v>985</v>
      </c>
    </row>
    <row r="990" spans="1:2" x14ac:dyDescent="0.35">
      <c r="A990" s="258" t="s">
        <v>1689</v>
      </c>
      <c r="B990" s="258" t="s">
        <v>532</v>
      </c>
    </row>
    <row r="991" spans="1:2" x14ac:dyDescent="0.35">
      <c r="A991" s="258" t="s">
        <v>1690</v>
      </c>
      <c r="B991" s="258" t="s">
        <v>579</v>
      </c>
    </row>
    <row r="992" spans="1:2" x14ac:dyDescent="0.35">
      <c r="A992" s="258" t="s">
        <v>1691</v>
      </c>
      <c r="B992" s="258" t="s">
        <v>532</v>
      </c>
    </row>
    <row r="993" spans="1:2" x14ac:dyDescent="0.35">
      <c r="A993" s="258" t="s">
        <v>1692</v>
      </c>
      <c r="B993" s="258" t="s">
        <v>532</v>
      </c>
    </row>
    <row r="994" spans="1:2" x14ac:dyDescent="0.35">
      <c r="A994" s="258" t="s">
        <v>1693</v>
      </c>
      <c r="B994" s="258" t="s">
        <v>757</v>
      </c>
    </row>
    <row r="995" spans="1:2" x14ac:dyDescent="0.35">
      <c r="A995" s="258" t="s">
        <v>1694</v>
      </c>
      <c r="B995" s="258" t="s">
        <v>572</v>
      </c>
    </row>
    <row r="996" spans="1:2" x14ac:dyDescent="0.35">
      <c r="A996" s="258" t="s">
        <v>1695</v>
      </c>
      <c r="B996" s="258" t="s">
        <v>572</v>
      </c>
    </row>
    <row r="997" spans="1:2" x14ac:dyDescent="0.35">
      <c r="A997" s="258" t="s">
        <v>1696</v>
      </c>
      <c r="B997" s="258" t="s">
        <v>579</v>
      </c>
    </row>
    <row r="998" spans="1:2" x14ac:dyDescent="0.35">
      <c r="A998" s="258" t="s">
        <v>1697</v>
      </c>
      <c r="B998" s="258" t="s">
        <v>532</v>
      </c>
    </row>
    <row r="999" spans="1:2" x14ac:dyDescent="0.35">
      <c r="A999" s="258" t="s">
        <v>1698</v>
      </c>
      <c r="B999" s="258" t="s">
        <v>587</v>
      </c>
    </row>
    <row r="1000" spans="1:2" x14ac:dyDescent="0.35">
      <c r="A1000" s="258" t="s">
        <v>1699</v>
      </c>
      <c r="B1000" s="258" t="s">
        <v>1141</v>
      </c>
    </row>
    <row r="1001" spans="1:2" x14ac:dyDescent="0.35">
      <c r="A1001" s="258" t="s">
        <v>1700</v>
      </c>
      <c r="B1001" s="258" t="s">
        <v>807</v>
      </c>
    </row>
    <row r="1002" spans="1:2" x14ac:dyDescent="0.35">
      <c r="A1002" s="258" t="s">
        <v>1701</v>
      </c>
      <c r="B1002" s="258" t="s">
        <v>1416</v>
      </c>
    </row>
    <row r="1003" spans="1:2" x14ac:dyDescent="0.35">
      <c r="A1003" s="258" t="s">
        <v>1702</v>
      </c>
      <c r="B1003" s="258" t="s">
        <v>1305</v>
      </c>
    </row>
    <row r="1004" spans="1:2" x14ac:dyDescent="0.35">
      <c r="A1004" s="258" t="s">
        <v>1703</v>
      </c>
      <c r="B1004" s="258" t="s">
        <v>757</v>
      </c>
    </row>
    <row r="1005" spans="1:2" x14ac:dyDescent="0.35">
      <c r="A1005" s="258" t="s">
        <v>1704</v>
      </c>
      <c r="B1005" s="258" t="s">
        <v>532</v>
      </c>
    </row>
    <row r="1006" spans="1:2" x14ac:dyDescent="0.35">
      <c r="A1006" s="258" t="s">
        <v>1705</v>
      </c>
      <c r="B1006" s="258" t="s">
        <v>532</v>
      </c>
    </row>
    <row r="1007" spans="1:2" x14ac:dyDescent="0.35">
      <c r="A1007" s="258" t="s">
        <v>1706</v>
      </c>
      <c r="B1007" s="258" t="s">
        <v>534</v>
      </c>
    </row>
    <row r="1008" spans="1:2" x14ac:dyDescent="0.35">
      <c r="A1008" s="258" t="s">
        <v>1707</v>
      </c>
      <c r="B1008" s="258" t="s">
        <v>534</v>
      </c>
    </row>
    <row r="1009" spans="1:2" x14ac:dyDescent="0.35">
      <c r="A1009" s="258" t="s">
        <v>1708</v>
      </c>
      <c r="B1009" s="258" t="s">
        <v>532</v>
      </c>
    </row>
    <row r="1010" spans="1:2" x14ac:dyDescent="0.35">
      <c r="A1010" s="258" t="s">
        <v>1709</v>
      </c>
      <c r="B1010" s="258" t="s">
        <v>532</v>
      </c>
    </row>
    <row r="1011" spans="1:2" x14ac:dyDescent="0.35">
      <c r="A1011" s="258" t="s">
        <v>1710</v>
      </c>
      <c r="B1011" s="258" t="s">
        <v>532</v>
      </c>
    </row>
    <row r="1012" spans="1:2" x14ac:dyDescent="0.35">
      <c r="A1012" s="258" t="s">
        <v>1711</v>
      </c>
      <c r="B1012" s="258" t="s">
        <v>532</v>
      </c>
    </row>
    <row r="1013" spans="1:2" x14ac:dyDescent="0.35">
      <c r="A1013" s="258" t="s">
        <v>1712</v>
      </c>
      <c r="B1013" s="258" t="s">
        <v>1321</v>
      </c>
    </row>
    <row r="1014" spans="1:2" x14ac:dyDescent="0.35">
      <c r="A1014" s="258" t="s">
        <v>1713</v>
      </c>
      <c r="B1014" s="258" t="s">
        <v>1714</v>
      </c>
    </row>
    <row r="1015" spans="1:2" x14ac:dyDescent="0.35">
      <c r="A1015" s="258" t="s">
        <v>1715</v>
      </c>
      <c r="B1015" s="258" t="s">
        <v>540</v>
      </c>
    </row>
    <row r="1016" spans="1:2" x14ac:dyDescent="0.35">
      <c r="A1016" s="258" t="s">
        <v>1716</v>
      </c>
      <c r="B1016" s="258" t="s">
        <v>540</v>
      </c>
    </row>
    <row r="1017" spans="1:2" x14ac:dyDescent="0.35">
      <c r="A1017" s="258" t="s">
        <v>1717</v>
      </c>
      <c r="B1017" s="258" t="s">
        <v>532</v>
      </c>
    </row>
    <row r="1018" spans="1:2" x14ac:dyDescent="0.35">
      <c r="A1018" s="258" t="s">
        <v>1718</v>
      </c>
      <c r="B1018" s="258" t="s">
        <v>1018</v>
      </c>
    </row>
    <row r="1019" spans="1:2" x14ac:dyDescent="0.35">
      <c r="A1019" s="258" t="s">
        <v>1719</v>
      </c>
      <c r="B1019" s="258" t="s">
        <v>734</v>
      </c>
    </row>
    <row r="1020" spans="1:2" x14ac:dyDescent="0.35">
      <c r="A1020" s="258" t="s">
        <v>1720</v>
      </c>
      <c r="B1020" s="258" t="s">
        <v>579</v>
      </c>
    </row>
    <row r="1021" spans="1:2" x14ac:dyDescent="0.35">
      <c r="A1021" s="258" t="s">
        <v>1721</v>
      </c>
      <c r="B1021" s="258" t="s">
        <v>579</v>
      </c>
    </row>
    <row r="1022" spans="1:2" x14ac:dyDescent="0.35">
      <c r="A1022" s="258" t="s">
        <v>1722</v>
      </c>
      <c r="B1022" s="258" t="s">
        <v>579</v>
      </c>
    </row>
    <row r="1023" spans="1:2" x14ac:dyDescent="0.35">
      <c r="A1023" s="258" t="s">
        <v>1723</v>
      </c>
      <c r="B1023" s="258" t="s">
        <v>579</v>
      </c>
    </row>
    <row r="1024" spans="1:2" x14ac:dyDescent="0.35">
      <c r="A1024" s="258" t="s">
        <v>1724</v>
      </c>
      <c r="B1024" s="258" t="s">
        <v>579</v>
      </c>
    </row>
    <row r="1025" spans="1:2" x14ac:dyDescent="0.35">
      <c r="A1025" s="258" t="s">
        <v>1725</v>
      </c>
      <c r="B1025" s="258" t="s">
        <v>623</v>
      </c>
    </row>
    <row r="1026" spans="1:2" x14ac:dyDescent="0.35">
      <c r="A1026" s="258" t="s">
        <v>1726</v>
      </c>
      <c r="B1026" s="258" t="s">
        <v>623</v>
      </c>
    </row>
    <row r="1027" spans="1:2" x14ac:dyDescent="0.35">
      <c r="A1027" s="258" t="s">
        <v>1727</v>
      </c>
      <c r="B1027" s="258" t="s">
        <v>623</v>
      </c>
    </row>
    <row r="1028" spans="1:2" x14ac:dyDescent="0.35">
      <c r="A1028" s="258" t="s">
        <v>1728</v>
      </c>
      <c r="B1028" s="258" t="s">
        <v>532</v>
      </c>
    </row>
    <row r="1029" spans="1:2" x14ac:dyDescent="0.35">
      <c r="A1029" s="258" t="s">
        <v>1729</v>
      </c>
      <c r="B1029" s="258" t="s">
        <v>534</v>
      </c>
    </row>
    <row r="1030" spans="1:2" x14ac:dyDescent="0.35">
      <c r="A1030" s="258" t="s">
        <v>1730</v>
      </c>
      <c r="B1030" s="258" t="s">
        <v>534</v>
      </c>
    </row>
    <row r="1031" spans="1:2" x14ac:dyDescent="0.35">
      <c r="A1031" s="258" t="s">
        <v>1731</v>
      </c>
      <c r="B1031" s="258" t="s">
        <v>534</v>
      </c>
    </row>
    <row r="1032" spans="1:2" x14ac:dyDescent="0.35">
      <c r="A1032" s="258" t="s">
        <v>1732</v>
      </c>
      <c r="B1032" s="258" t="s">
        <v>925</v>
      </c>
    </row>
    <row r="1033" spans="1:2" x14ac:dyDescent="0.35">
      <c r="A1033" s="258" t="s">
        <v>1733</v>
      </c>
      <c r="B1033" s="258" t="s">
        <v>532</v>
      </c>
    </row>
    <row r="1034" spans="1:2" x14ac:dyDescent="0.35">
      <c r="A1034" s="258" t="s">
        <v>1734</v>
      </c>
      <c r="B1034" s="258" t="s">
        <v>937</v>
      </c>
    </row>
    <row r="1035" spans="1:2" x14ac:dyDescent="0.35">
      <c r="A1035" s="258" t="s">
        <v>1735</v>
      </c>
      <c r="B1035" s="258" t="s">
        <v>579</v>
      </c>
    </row>
    <row r="1036" spans="1:2" x14ac:dyDescent="0.35">
      <c r="A1036" s="258" t="s">
        <v>1736</v>
      </c>
      <c r="B1036" s="258" t="s">
        <v>699</v>
      </c>
    </row>
    <row r="1037" spans="1:2" x14ac:dyDescent="0.35">
      <c r="A1037" s="258" t="s">
        <v>1737</v>
      </c>
      <c r="B1037" s="258" t="s">
        <v>1437</v>
      </c>
    </row>
    <row r="1038" spans="1:2" x14ac:dyDescent="0.35">
      <c r="A1038" s="258" t="s">
        <v>1738</v>
      </c>
      <c r="B1038" s="258" t="s">
        <v>532</v>
      </c>
    </row>
    <row r="1039" spans="1:2" x14ac:dyDescent="0.35">
      <c r="A1039" s="258" t="s">
        <v>1739</v>
      </c>
      <c r="B1039" s="258" t="s">
        <v>532</v>
      </c>
    </row>
    <row r="1040" spans="1:2" x14ac:dyDescent="0.35">
      <c r="A1040" s="258" t="s">
        <v>1740</v>
      </c>
      <c r="B1040" s="258" t="s">
        <v>757</v>
      </c>
    </row>
    <row r="1041" spans="1:2" x14ac:dyDescent="0.35">
      <c r="A1041" s="258" t="s">
        <v>1741</v>
      </c>
      <c r="B1041" s="258" t="s">
        <v>1742</v>
      </c>
    </row>
    <row r="1042" spans="1:2" x14ac:dyDescent="0.35">
      <c r="A1042" s="258" t="s">
        <v>1743</v>
      </c>
      <c r="B1042" s="258" t="s">
        <v>1744</v>
      </c>
    </row>
    <row r="1043" spans="1:2" x14ac:dyDescent="0.35">
      <c r="A1043" s="258" t="s">
        <v>1745</v>
      </c>
      <c r="B1043" s="258" t="s">
        <v>532</v>
      </c>
    </row>
    <row r="1044" spans="1:2" x14ac:dyDescent="0.35">
      <c r="A1044" s="258" t="s">
        <v>1746</v>
      </c>
      <c r="B1044" s="258" t="s">
        <v>532</v>
      </c>
    </row>
    <row r="1045" spans="1:2" x14ac:dyDescent="0.35">
      <c r="A1045" s="258" t="s">
        <v>1747</v>
      </c>
      <c r="B1045" s="258" t="s">
        <v>532</v>
      </c>
    </row>
    <row r="1046" spans="1:2" x14ac:dyDescent="0.35">
      <c r="A1046" s="258" t="s">
        <v>1748</v>
      </c>
      <c r="B1046" s="258" t="s">
        <v>579</v>
      </c>
    </row>
    <row r="1047" spans="1:2" x14ac:dyDescent="0.35">
      <c r="A1047" s="258" t="s">
        <v>1749</v>
      </c>
      <c r="B1047" s="258" t="s">
        <v>1396</v>
      </c>
    </row>
    <row r="1048" spans="1:2" x14ac:dyDescent="0.35">
      <c r="A1048" s="258" t="s">
        <v>1750</v>
      </c>
      <c r="B1048" s="258" t="s">
        <v>577</v>
      </c>
    </row>
    <row r="1049" spans="1:2" x14ac:dyDescent="0.35">
      <c r="A1049" s="258" t="s">
        <v>1751</v>
      </c>
      <c r="B1049" s="258" t="s">
        <v>532</v>
      </c>
    </row>
    <row r="1050" spans="1:2" x14ac:dyDescent="0.35">
      <c r="A1050" s="258" t="s">
        <v>1752</v>
      </c>
      <c r="B1050" s="258" t="s">
        <v>532</v>
      </c>
    </row>
    <row r="1051" spans="1:2" x14ac:dyDescent="0.35">
      <c r="A1051" s="258" t="s">
        <v>1753</v>
      </c>
      <c r="B1051" s="258" t="s">
        <v>1754</v>
      </c>
    </row>
    <row r="1052" spans="1:2" x14ac:dyDescent="0.35">
      <c r="A1052" s="258" t="s">
        <v>1755</v>
      </c>
      <c r="B1052" s="258" t="s">
        <v>701</v>
      </c>
    </row>
    <row r="1053" spans="1:2" x14ac:dyDescent="0.35">
      <c r="A1053" s="258" t="s">
        <v>1756</v>
      </c>
      <c r="B1053" s="258" t="s">
        <v>532</v>
      </c>
    </row>
    <row r="1054" spans="1:2" x14ac:dyDescent="0.35">
      <c r="A1054" s="258" t="s">
        <v>1757</v>
      </c>
      <c r="B1054" s="258" t="s">
        <v>532</v>
      </c>
    </row>
    <row r="1055" spans="1:2" x14ac:dyDescent="0.35">
      <c r="A1055" s="258" t="s">
        <v>1758</v>
      </c>
      <c r="B1055" s="258" t="s">
        <v>878</v>
      </c>
    </row>
    <row r="1056" spans="1:2" x14ac:dyDescent="0.35">
      <c r="A1056" s="258" t="s">
        <v>1759</v>
      </c>
      <c r="B1056" s="258" t="s">
        <v>878</v>
      </c>
    </row>
    <row r="1057" spans="1:2" x14ac:dyDescent="0.35">
      <c r="A1057" s="258" t="s">
        <v>1760</v>
      </c>
      <c r="B1057" s="258" t="s">
        <v>878</v>
      </c>
    </row>
    <row r="1058" spans="1:2" x14ac:dyDescent="0.35">
      <c r="A1058" s="258" t="s">
        <v>1761</v>
      </c>
      <c r="B1058" s="258" t="s">
        <v>878</v>
      </c>
    </row>
    <row r="1059" spans="1:2" x14ac:dyDescent="0.35">
      <c r="A1059" s="258" t="s">
        <v>1762</v>
      </c>
      <c r="B1059" s="258" t="s">
        <v>778</v>
      </c>
    </row>
    <row r="1060" spans="1:2" x14ac:dyDescent="0.35">
      <c r="A1060" s="258" t="s">
        <v>1763</v>
      </c>
      <c r="B1060" s="258" t="s">
        <v>974</v>
      </c>
    </row>
    <row r="1061" spans="1:2" x14ac:dyDescent="0.35">
      <c r="A1061" s="258" t="s">
        <v>1764</v>
      </c>
      <c r="B1061" s="258" t="s">
        <v>590</v>
      </c>
    </row>
    <row r="1062" spans="1:2" x14ac:dyDescent="0.35">
      <c r="A1062" s="258" t="s">
        <v>1765</v>
      </c>
      <c r="B1062" s="258" t="s">
        <v>532</v>
      </c>
    </row>
    <row r="1063" spans="1:2" x14ac:dyDescent="0.35">
      <c r="A1063" s="258" t="s">
        <v>1766</v>
      </c>
      <c r="B1063" s="258" t="s">
        <v>532</v>
      </c>
    </row>
    <row r="1064" spans="1:2" x14ac:dyDescent="0.35">
      <c r="A1064" s="258" t="s">
        <v>1767</v>
      </c>
      <c r="B1064" s="258" t="s">
        <v>1768</v>
      </c>
    </row>
    <row r="1065" spans="1:2" x14ac:dyDescent="0.35">
      <c r="A1065" s="258" t="s">
        <v>1769</v>
      </c>
      <c r="B1065" s="258" t="s">
        <v>846</v>
      </c>
    </row>
    <row r="1066" spans="1:2" x14ac:dyDescent="0.35">
      <c r="A1066" s="258" t="s">
        <v>1770</v>
      </c>
      <c r="B1066" s="258" t="s">
        <v>717</v>
      </c>
    </row>
    <row r="1067" spans="1:2" x14ac:dyDescent="0.35">
      <c r="A1067" s="258" t="s">
        <v>1771</v>
      </c>
      <c r="B1067" s="258" t="s">
        <v>1772</v>
      </c>
    </row>
    <row r="1068" spans="1:2" x14ac:dyDescent="0.35">
      <c r="A1068" s="258" t="s">
        <v>1773</v>
      </c>
      <c r="B1068" s="258" t="s">
        <v>532</v>
      </c>
    </row>
    <row r="1069" spans="1:2" x14ac:dyDescent="0.35">
      <c r="A1069" s="258" t="s">
        <v>1774</v>
      </c>
      <c r="B1069" s="258" t="s">
        <v>1775</v>
      </c>
    </row>
    <row r="1070" spans="1:2" x14ac:dyDescent="0.35">
      <c r="A1070" s="258" t="s">
        <v>1776</v>
      </c>
      <c r="B1070" s="258" t="s">
        <v>532</v>
      </c>
    </row>
    <row r="1071" spans="1:2" x14ac:dyDescent="0.35">
      <c r="A1071" s="258" t="s">
        <v>1777</v>
      </c>
      <c r="B1071" s="258" t="s">
        <v>1778</v>
      </c>
    </row>
    <row r="1072" spans="1:2" x14ac:dyDescent="0.35">
      <c r="A1072" s="258" t="s">
        <v>1779</v>
      </c>
      <c r="B1072" s="258" t="s">
        <v>532</v>
      </c>
    </row>
    <row r="1073" spans="1:2" x14ac:dyDescent="0.35">
      <c r="A1073" s="258" t="s">
        <v>1780</v>
      </c>
      <c r="B1073" s="258" t="s">
        <v>532</v>
      </c>
    </row>
    <row r="1074" spans="1:2" x14ac:dyDescent="0.35">
      <c r="A1074" s="258" t="s">
        <v>1781</v>
      </c>
      <c r="B1074" s="258" t="s">
        <v>587</v>
      </c>
    </row>
    <row r="1075" spans="1:2" x14ac:dyDescent="0.35">
      <c r="A1075" s="258" t="s">
        <v>1782</v>
      </c>
      <c r="B1075" s="258" t="s">
        <v>821</v>
      </c>
    </row>
    <row r="1076" spans="1:2" x14ac:dyDescent="0.35">
      <c r="A1076" s="258" t="s">
        <v>1783</v>
      </c>
      <c r="B1076" s="258" t="s">
        <v>944</v>
      </c>
    </row>
    <row r="1077" spans="1:2" x14ac:dyDescent="0.35">
      <c r="A1077" s="258" t="s">
        <v>1784</v>
      </c>
      <c r="B1077" s="258" t="s">
        <v>532</v>
      </c>
    </row>
    <row r="1078" spans="1:2" x14ac:dyDescent="0.35">
      <c r="A1078" s="258" t="s">
        <v>1785</v>
      </c>
      <c r="B1078" s="258" t="s">
        <v>612</v>
      </c>
    </row>
    <row r="1079" spans="1:2" x14ac:dyDescent="0.35">
      <c r="A1079" s="258" t="s">
        <v>1786</v>
      </c>
      <c r="B1079" s="258" t="s">
        <v>616</v>
      </c>
    </row>
    <row r="1080" spans="1:2" x14ac:dyDescent="0.35">
      <c r="A1080" s="258" t="s">
        <v>1787</v>
      </c>
      <c r="B1080" s="258" t="s">
        <v>1788</v>
      </c>
    </row>
    <row r="1081" spans="1:2" x14ac:dyDescent="0.35">
      <c r="A1081" s="258" t="s">
        <v>1789</v>
      </c>
      <c r="B1081" s="258" t="s">
        <v>590</v>
      </c>
    </row>
    <row r="1082" spans="1:2" x14ac:dyDescent="0.35">
      <c r="A1082" s="258" t="s">
        <v>1790</v>
      </c>
      <c r="B1082" s="258" t="s">
        <v>685</v>
      </c>
    </row>
    <row r="1083" spans="1:2" x14ac:dyDescent="0.35">
      <c r="A1083" s="258" t="s">
        <v>1791</v>
      </c>
      <c r="B1083" s="258" t="s">
        <v>526</v>
      </c>
    </row>
    <row r="1084" spans="1:2" x14ac:dyDescent="0.35">
      <c r="A1084" s="258" t="s">
        <v>1792</v>
      </c>
      <c r="B1084" s="258" t="s">
        <v>760</v>
      </c>
    </row>
    <row r="1085" spans="1:2" x14ac:dyDescent="0.35">
      <c r="A1085" s="258" t="s">
        <v>1793</v>
      </c>
      <c r="B1085" s="258" t="s">
        <v>760</v>
      </c>
    </row>
    <row r="1086" spans="1:2" x14ac:dyDescent="0.35">
      <c r="A1086" s="258" t="s">
        <v>1794</v>
      </c>
      <c r="B1086" s="258" t="s">
        <v>974</v>
      </c>
    </row>
    <row r="1087" spans="1:2" x14ac:dyDescent="0.35">
      <c r="A1087" s="258" t="s">
        <v>1795</v>
      </c>
      <c r="B1087" s="258" t="s">
        <v>1549</v>
      </c>
    </row>
    <row r="1088" spans="1:2" x14ac:dyDescent="0.35">
      <c r="A1088" s="258" t="s">
        <v>1796</v>
      </c>
      <c r="B1088" s="258" t="s">
        <v>1549</v>
      </c>
    </row>
    <row r="1089" spans="1:2" x14ac:dyDescent="0.35">
      <c r="A1089" s="258" t="s">
        <v>1797</v>
      </c>
      <c r="B1089" s="258" t="s">
        <v>532</v>
      </c>
    </row>
    <row r="1090" spans="1:2" x14ac:dyDescent="0.35">
      <c r="A1090" s="258" t="s">
        <v>1798</v>
      </c>
      <c r="B1090" s="258" t="s">
        <v>974</v>
      </c>
    </row>
    <row r="1091" spans="1:2" x14ac:dyDescent="0.35">
      <c r="A1091" s="258" t="s">
        <v>1799</v>
      </c>
      <c r="B1091" s="258" t="s">
        <v>1264</v>
      </c>
    </row>
    <row r="1092" spans="1:2" x14ac:dyDescent="0.35">
      <c r="A1092" s="258" t="s">
        <v>1800</v>
      </c>
      <c r="B1092" s="258" t="s">
        <v>532</v>
      </c>
    </row>
    <row r="1093" spans="1:2" x14ac:dyDescent="0.35">
      <c r="A1093" s="258" t="s">
        <v>1801</v>
      </c>
      <c r="B1093" s="258" t="s">
        <v>587</v>
      </c>
    </row>
    <row r="1094" spans="1:2" x14ac:dyDescent="0.35">
      <c r="A1094" s="258" t="s">
        <v>1802</v>
      </c>
      <c r="B1094" s="258" t="s">
        <v>736</v>
      </c>
    </row>
    <row r="1095" spans="1:2" x14ac:dyDescent="0.35">
      <c r="A1095" s="258" t="s">
        <v>1803</v>
      </c>
      <c r="B1095" s="258" t="s">
        <v>625</v>
      </c>
    </row>
    <row r="1096" spans="1:2" x14ac:dyDescent="0.35">
      <c r="A1096" s="258" t="s">
        <v>1804</v>
      </c>
      <c r="B1096" s="258" t="s">
        <v>532</v>
      </c>
    </row>
    <row r="1097" spans="1:2" x14ac:dyDescent="0.35">
      <c r="A1097" s="258" t="s">
        <v>1805</v>
      </c>
      <c r="B1097" s="258" t="s">
        <v>1307</v>
      </c>
    </row>
    <row r="1098" spans="1:2" x14ac:dyDescent="0.35">
      <c r="A1098" s="258" t="s">
        <v>1806</v>
      </c>
      <c r="B1098" s="258" t="s">
        <v>532</v>
      </c>
    </row>
    <row r="1099" spans="1:2" x14ac:dyDescent="0.35">
      <c r="A1099" s="258" t="s">
        <v>1807</v>
      </c>
      <c r="B1099" s="258" t="s">
        <v>1388</v>
      </c>
    </row>
    <row r="1100" spans="1:2" x14ac:dyDescent="0.35">
      <c r="A1100" s="258" t="s">
        <v>1808</v>
      </c>
      <c r="B1100" s="258" t="s">
        <v>1388</v>
      </c>
    </row>
    <row r="1101" spans="1:2" x14ac:dyDescent="0.35">
      <c r="A1101" s="258" t="s">
        <v>1809</v>
      </c>
      <c r="B1101" s="258" t="s">
        <v>532</v>
      </c>
    </row>
    <row r="1102" spans="1:2" x14ac:dyDescent="0.35">
      <c r="A1102" s="258" t="s">
        <v>1810</v>
      </c>
      <c r="B1102" s="258" t="s">
        <v>625</v>
      </c>
    </row>
    <row r="1103" spans="1:2" x14ac:dyDescent="0.35">
      <c r="A1103" s="258" t="s">
        <v>1811</v>
      </c>
      <c r="B1103" s="258" t="s">
        <v>670</v>
      </c>
    </row>
    <row r="1104" spans="1:2" x14ac:dyDescent="0.35">
      <c r="A1104" s="258" t="s">
        <v>1812</v>
      </c>
      <c r="B1104" s="258" t="s">
        <v>590</v>
      </c>
    </row>
    <row r="1105" spans="1:2" x14ac:dyDescent="0.35">
      <c r="A1105" s="258" t="s">
        <v>1813</v>
      </c>
      <c r="B1105" s="258" t="s">
        <v>728</v>
      </c>
    </row>
    <row r="1106" spans="1:2" x14ac:dyDescent="0.35">
      <c r="A1106" s="258" t="s">
        <v>1814</v>
      </c>
      <c r="B1106" s="258" t="s">
        <v>1459</v>
      </c>
    </row>
    <row r="1107" spans="1:2" x14ac:dyDescent="0.35">
      <c r="A1107" s="258" t="s">
        <v>1815</v>
      </c>
      <c r="B1107" s="258" t="s">
        <v>964</v>
      </c>
    </row>
    <row r="1108" spans="1:2" x14ac:dyDescent="0.35">
      <c r="A1108" s="258" t="s">
        <v>1816</v>
      </c>
      <c r="B1108" s="258" t="s">
        <v>590</v>
      </c>
    </row>
    <row r="1109" spans="1:2" x14ac:dyDescent="0.35">
      <c r="A1109" s="258" t="s">
        <v>1817</v>
      </c>
      <c r="B1109" s="258" t="s">
        <v>1141</v>
      </c>
    </row>
    <row r="1110" spans="1:2" x14ac:dyDescent="0.35">
      <c r="A1110" s="258" t="s">
        <v>1818</v>
      </c>
      <c r="B1110" s="258" t="s">
        <v>1466</v>
      </c>
    </row>
    <row r="1111" spans="1:2" x14ac:dyDescent="0.35">
      <c r="A1111" s="258" t="s">
        <v>1819</v>
      </c>
      <c r="B1111" s="258" t="s">
        <v>1575</v>
      </c>
    </row>
    <row r="1112" spans="1:2" x14ac:dyDescent="0.35">
      <c r="A1112" s="258" t="s">
        <v>1820</v>
      </c>
      <c r="B1112" s="258" t="s">
        <v>532</v>
      </c>
    </row>
    <row r="1113" spans="1:2" x14ac:dyDescent="0.35">
      <c r="A1113" s="258" t="s">
        <v>1821</v>
      </c>
      <c r="B1113" s="258" t="s">
        <v>532</v>
      </c>
    </row>
    <row r="1114" spans="1:2" x14ac:dyDescent="0.35">
      <c r="A1114" s="258" t="s">
        <v>1822</v>
      </c>
      <c r="B1114" s="258" t="s">
        <v>532</v>
      </c>
    </row>
    <row r="1115" spans="1:2" x14ac:dyDescent="0.35">
      <c r="A1115" s="258" t="s">
        <v>1823</v>
      </c>
      <c r="B1115" s="258" t="s">
        <v>1768</v>
      </c>
    </row>
    <row r="1116" spans="1:2" x14ac:dyDescent="0.35">
      <c r="A1116" s="258" t="s">
        <v>1824</v>
      </c>
      <c r="B1116" s="258" t="s">
        <v>739</v>
      </c>
    </row>
    <row r="1117" spans="1:2" x14ac:dyDescent="0.35">
      <c r="A1117" s="258" t="s">
        <v>1825</v>
      </c>
      <c r="B1117" s="258" t="s">
        <v>587</v>
      </c>
    </row>
    <row r="1118" spans="1:2" x14ac:dyDescent="0.35">
      <c r="A1118" s="258" t="s">
        <v>1826</v>
      </c>
      <c r="B1118" s="258" t="s">
        <v>587</v>
      </c>
    </row>
    <row r="1119" spans="1:2" x14ac:dyDescent="0.35">
      <c r="A1119" s="258" t="s">
        <v>1827</v>
      </c>
      <c r="B1119" s="258" t="s">
        <v>1264</v>
      </c>
    </row>
    <row r="1120" spans="1:2" x14ac:dyDescent="0.35">
      <c r="A1120" s="258" t="s">
        <v>1828</v>
      </c>
      <c r="B1120" s="258" t="s">
        <v>1264</v>
      </c>
    </row>
    <row r="1121" spans="1:2" x14ac:dyDescent="0.35">
      <c r="A1121" s="258" t="s">
        <v>1829</v>
      </c>
      <c r="B1121" s="258" t="s">
        <v>778</v>
      </c>
    </row>
    <row r="1122" spans="1:2" x14ac:dyDescent="0.35">
      <c r="A1122" s="258" t="s">
        <v>1830</v>
      </c>
      <c r="B1122" s="258" t="s">
        <v>548</v>
      </c>
    </row>
    <row r="1123" spans="1:2" x14ac:dyDescent="0.35">
      <c r="A1123" s="258" t="s">
        <v>1831</v>
      </c>
      <c r="B1123" s="258" t="s">
        <v>532</v>
      </c>
    </row>
    <row r="1124" spans="1:2" x14ac:dyDescent="0.35">
      <c r="A1124" s="258" t="s">
        <v>1832</v>
      </c>
      <c r="B1124" s="258" t="s">
        <v>532</v>
      </c>
    </row>
    <row r="1125" spans="1:2" x14ac:dyDescent="0.35">
      <c r="A1125" s="258" t="s">
        <v>1833</v>
      </c>
      <c r="B1125" s="258" t="s">
        <v>532</v>
      </c>
    </row>
    <row r="1126" spans="1:2" x14ac:dyDescent="0.35">
      <c r="A1126" s="258" t="s">
        <v>1834</v>
      </c>
      <c r="B1126" s="258" t="s">
        <v>532</v>
      </c>
    </row>
    <row r="1127" spans="1:2" x14ac:dyDescent="0.35">
      <c r="A1127" s="258" t="s">
        <v>1835</v>
      </c>
      <c r="B1127" s="258" t="s">
        <v>537</v>
      </c>
    </row>
    <row r="1128" spans="1:2" x14ac:dyDescent="0.35">
      <c r="A1128" s="258" t="s">
        <v>1836</v>
      </c>
      <c r="B1128" s="258" t="s">
        <v>537</v>
      </c>
    </row>
    <row r="1129" spans="1:2" x14ac:dyDescent="0.35">
      <c r="A1129" s="258" t="s">
        <v>1837</v>
      </c>
      <c r="B1129" s="258" t="s">
        <v>537</v>
      </c>
    </row>
    <row r="1130" spans="1:2" x14ac:dyDescent="0.35">
      <c r="A1130" s="258" t="s">
        <v>1838</v>
      </c>
      <c r="B1130" s="258" t="s">
        <v>537</v>
      </c>
    </row>
    <row r="1131" spans="1:2" x14ac:dyDescent="0.35">
      <c r="A1131" s="258" t="s">
        <v>1839</v>
      </c>
      <c r="B1131" s="258" t="s">
        <v>537</v>
      </c>
    </row>
    <row r="1132" spans="1:2" x14ac:dyDescent="0.35">
      <c r="A1132" s="258" t="s">
        <v>1840</v>
      </c>
      <c r="B1132" s="258" t="s">
        <v>1141</v>
      </c>
    </row>
    <row r="1133" spans="1:2" x14ac:dyDescent="0.35">
      <c r="A1133" s="258" t="s">
        <v>1841</v>
      </c>
      <c r="B1133" s="258" t="s">
        <v>532</v>
      </c>
    </row>
    <row r="1134" spans="1:2" x14ac:dyDescent="0.35">
      <c r="A1134" s="258" t="s">
        <v>1842</v>
      </c>
      <c r="B1134" s="258" t="s">
        <v>532</v>
      </c>
    </row>
    <row r="1135" spans="1:2" x14ac:dyDescent="0.35">
      <c r="A1135" s="258" t="s">
        <v>1843</v>
      </c>
      <c r="B1135" s="258" t="s">
        <v>623</v>
      </c>
    </row>
    <row r="1136" spans="1:2" x14ac:dyDescent="0.35">
      <c r="A1136" s="258" t="s">
        <v>1844</v>
      </c>
      <c r="B1136" s="258" t="s">
        <v>778</v>
      </c>
    </row>
    <row r="1137" spans="1:2" x14ac:dyDescent="0.35">
      <c r="A1137" s="258" t="s">
        <v>1845</v>
      </c>
      <c r="B1137" s="258" t="s">
        <v>532</v>
      </c>
    </row>
    <row r="1138" spans="1:2" x14ac:dyDescent="0.35">
      <c r="A1138" s="258" t="s">
        <v>1846</v>
      </c>
      <c r="B1138" s="258" t="s">
        <v>1847</v>
      </c>
    </row>
    <row r="1139" spans="1:2" x14ac:dyDescent="0.35">
      <c r="A1139" s="258" t="s">
        <v>1848</v>
      </c>
      <c r="B1139" s="258" t="s">
        <v>532</v>
      </c>
    </row>
    <row r="1140" spans="1:2" x14ac:dyDescent="0.35">
      <c r="A1140" s="258" t="s">
        <v>1849</v>
      </c>
      <c r="B1140" s="258" t="s">
        <v>643</v>
      </c>
    </row>
    <row r="1141" spans="1:2" x14ac:dyDescent="0.35">
      <c r="A1141" s="258" t="s">
        <v>1850</v>
      </c>
      <c r="B1141" s="258" t="s">
        <v>1851</v>
      </c>
    </row>
    <row r="1142" spans="1:2" x14ac:dyDescent="0.35">
      <c r="A1142" s="258" t="s">
        <v>1852</v>
      </c>
      <c r="B1142" s="258" t="s">
        <v>1001</v>
      </c>
    </row>
    <row r="1143" spans="1:2" x14ac:dyDescent="0.35">
      <c r="A1143" s="258" t="s">
        <v>1853</v>
      </c>
      <c r="B1143" s="258" t="s">
        <v>532</v>
      </c>
    </row>
    <row r="1144" spans="1:2" x14ac:dyDescent="0.35">
      <c r="A1144" s="258" t="s">
        <v>1854</v>
      </c>
      <c r="B1144" s="258" t="s">
        <v>532</v>
      </c>
    </row>
    <row r="1145" spans="1:2" x14ac:dyDescent="0.35">
      <c r="A1145" s="258" t="s">
        <v>1855</v>
      </c>
      <c r="B1145" s="258" t="s">
        <v>623</v>
      </c>
    </row>
    <row r="1146" spans="1:2" x14ac:dyDescent="0.35">
      <c r="A1146" s="258" t="s">
        <v>1856</v>
      </c>
      <c r="B1146" s="258" t="s">
        <v>1857</v>
      </c>
    </row>
    <row r="1147" spans="1:2" x14ac:dyDescent="0.35">
      <c r="A1147" s="258" t="s">
        <v>1858</v>
      </c>
      <c r="B1147" s="258" t="s">
        <v>750</v>
      </c>
    </row>
    <row r="1148" spans="1:2" x14ac:dyDescent="0.35">
      <c r="A1148" s="258" t="s">
        <v>1859</v>
      </c>
      <c r="B1148" s="258" t="s">
        <v>532</v>
      </c>
    </row>
    <row r="1149" spans="1:2" x14ac:dyDescent="0.35">
      <c r="A1149" s="258" t="s">
        <v>1860</v>
      </c>
      <c r="B1149" s="258" t="s">
        <v>778</v>
      </c>
    </row>
    <row r="1150" spans="1:2" x14ac:dyDescent="0.35">
      <c r="A1150" s="258" t="s">
        <v>1861</v>
      </c>
      <c r="B1150" s="258" t="s">
        <v>757</v>
      </c>
    </row>
    <row r="1151" spans="1:2" x14ac:dyDescent="0.35">
      <c r="A1151" s="258" t="s">
        <v>1862</v>
      </c>
      <c r="B1151" s="258" t="s">
        <v>1863</v>
      </c>
    </row>
    <row r="1152" spans="1:2" x14ac:dyDescent="0.35">
      <c r="A1152" s="258" t="s">
        <v>1864</v>
      </c>
      <c r="B1152" s="258" t="s">
        <v>526</v>
      </c>
    </row>
    <row r="1153" spans="1:2" x14ac:dyDescent="0.35">
      <c r="A1153" s="258" t="s">
        <v>1865</v>
      </c>
      <c r="B1153" s="258" t="s">
        <v>532</v>
      </c>
    </row>
    <row r="1154" spans="1:2" x14ac:dyDescent="0.35">
      <c r="A1154" s="258" t="s">
        <v>1866</v>
      </c>
      <c r="B1154" s="258" t="s">
        <v>1867</v>
      </c>
    </row>
    <row r="1155" spans="1:2" x14ac:dyDescent="0.35">
      <c r="A1155" s="258" t="s">
        <v>1868</v>
      </c>
      <c r="B1155" s="258" t="s">
        <v>1048</v>
      </c>
    </row>
    <row r="1156" spans="1:2" x14ac:dyDescent="0.35">
      <c r="A1156" s="258" t="s">
        <v>1869</v>
      </c>
      <c r="B1156" s="258" t="s">
        <v>1048</v>
      </c>
    </row>
    <row r="1157" spans="1:2" x14ac:dyDescent="0.35">
      <c r="A1157" s="258" t="s">
        <v>1870</v>
      </c>
      <c r="B1157" s="258" t="s">
        <v>532</v>
      </c>
    </row>
    <row r="1158" spans="1:2" x14ac:dyDescent="0.35">
      <c r="A1158" s="258" t="s">
        <v>1871</v>
      </c>
      <c r="B1158" s="258" t="s">
        <v>1872</v>
      </c>
    </row>
    <row r="1159" spans="1:2" x14ac:dyDescent="0.35">
      <c r="A1159" s="258" t="s">
        <v>1873</v>
      </c>
      <c r="B1159" s="258" t="s">
        <v>878</v>
      </c>
    </row>
    <row r="1160" spans="1:2" x14ac:dyDescent="0.35">
      <c r="A1160" s="258" t="s">
        <v>1874</v>
      </c>
      <c r="B1160" s="258" t="s">
        <v>532</v>
      </c>
    </row>
    <row r="1161" spans="1:2" x14ac:dyDescent="0.35">
      <c r="A1161" s="258" t="s">
        <v>1875</v>
      </c>
      <c r="B1161" s="258" t="s">
        <v>532</v>
      </c>
    </row>
    <row r="1162" spans="1:2" x14ac:dyDescent="0.35">
      <c r="A1162" s="258" t="s">
        <v>1876</v>
      </c>
      <c r="B1162" s="258" t="s">
        <v>537</v>
      </c>
    </row>
    <row r="1163" spans="1:2" x14ac:dyDescent="0.35">
      <c r="A1163" s="258" t="s">
        <v>1877</v>
      </c>
      <c r="B1163" s="258" t="s">
        <v>537</v>
      </c>
    </row>
    <row r="1164" spans="1:2" x14ac:dyDescent="0.35">
      <c r="A1164" s="258" t="s">
        <v>1878</v>
      </c>
      <c r="B1164" s="258" t="s">
        <v>537</v>
      </c>
    </row>
    <row r="1165" spans="1:2" x14ac:dyDescent="0.35">
      <c r="A1165" s="258" t="s">
        <v>1879</v>
      </c>
      <c r="B1165" s="258" t="s">
        <v>532</v>
      </c>
    </row>
    <row r="1166" spans="1:2" x14ac:dyDescent="0.35">
      <c r="A1166" s="258" t="s">
        <v>1880</v>
      </c>
      <c r="B1166" s="258" t="s">
        <v>526</v>
      </c>
    </row>
    <row r="1167" spans="1:2" x14ac:dyDescent="0.35">
      <c r="A1167" s="258" t="s">
        <v>1881</v>
      </c>
      <c r="B1167" s="258" t="s">
        <v>532</v>
      </c>
    </row>
    <row r="1168" spans="1:2" x14ac:dyDescent="0.35">
      <c r="A1168" s="258" t="s">
        <v>1882</v>
      </c>
      <c r="B1168" s="258" t="s">
        <v>528</v>
      </c>
    </row>
    <row r="1169" spans="1:2" x14ac:dyDescent="0.35">
      <c r="A1169" s="258" t="s">
        <v>1883</v>
      </c>
      <c r="B1169" s="258" t="s">
        <v>532</v>
      </c>
    </row>
  </sheetData>
  <sheetProtection algorithmName="SHA-512" hashValue="jKOfJINK4VovOvT/YOZttjIv7cGTNvDloon9El0+zu2mxJ0MmytkgWsOqvFg801fsErMkfPx8C3T8lwHiZX2cA==" saltValue="iwLrH7yWFdxAhJF5btDTMw==" spinCount="100000" sheet="1" selectLockedCells="1"/>
  <printOptions horizontalCentered="1"/>
  <pageMargins left="0.7" right="0.7" top="0.75" bottom="0.75" header="0.3" footer="0.3"/>
  <pageSetup scale="65" orientation="landscape" r:id="rId1"/>
  <headerFooter>
    <oddFooter>&amp;L&amp;A
Version Date: June 2, 2025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6D38F-5603-4B8C-9382-B08B3FFFBA53}">
  <sheetPr>
    <tabColor theme="0"/>
  </sheetPr>
  <dimension ref="A1:D19"/>
  <sheetViews>
    <sheetView showGridLines="0" topLeftCell="A6" zoomScaleNormal="100" zoomScaleSheetLayoutView="100" workbookViewId="0">
      <selection activeCell="B13" sqref="B13"/>
    </sheetView>
  </sheetViews>
  <sheetFormatPr defaultColWidth="17.07421875" defaultRowHeight="15.5" x14ac:dyDescent="0.35"/>
  <cols>
    <col min="1" max="1" width="55.07421875" style="258" customWidth="1"/>
    <col min="2" max="2" width="17.4609375" style="258" customWidth="1"/>
    <col min="3" max="3" width="20.84375" style="258" customWidth="1"/>
    <col min="4" max="16384" width="17.07421875" style="258"/>
  </cols>
  <sheetData>
    <row r="1" spans="1:4" ht="16.5" customHeight="1" x14ac:dyDescent="0.35">
      <c r="A1" s="257" t="s">
        <v>60</v>
      </c>
      <c r="B1" s="303"/>
      <c r="C1" s="86"/>
    </row>
    <row r="2" spans="1:4" ht="16.5" customHeight="1" x14ac:dyDescent="0.35">
      <c r="A2" s="257" t="s">
        <v>258</v>
      </c>
      <c r="B2" s="303"/>
      <c r="C2" s="86"/>
    </row>
    <row r="3" spans="1:4" ht="16.5" customHeight="1" x14ac:dyDescent="0.35">
      <c r="A3" s="257" t="s">
        <v>310</v>
      </c>
      <c r="B3" s="303"/>
      <c r="C3" s="86"/>
    </row>
    <row r="4" spans="1:4" ht="16.5" customHeight="1" x14ac:dyDescent="0.35">
      <c r="A4" s="262" t="s">
        <v>293</v>
      </c>
      <c r="B4" s="336"/>
      <c r="C4" s="282"/>
    </row>
    <row r="5" spans="1:4" ht="16.5" customHeight="1" x14ac:dyDescent="0.35">
      <c r="A5" s="260" t="s">
        <v>294</v>
      </c>
      <c r="B5" s="282"/>
      <c r="C5" s="282"/>
    </row>
    <row r="6" spans="1:4" ht="16.5" customHeight="1" x14ac:dyDescent="0.35">
      <c r="A6" s="263"/>
      <c r="B6" s="263"/>
      <c r="C6" s="263"/>
    </row>
    <row r="7" spans="1:4" ht="16.5" customHeight="1" x14ac:dyDescent="0.35">
      <c r="A7" s="277" t="str">
        <f>'Cover-Input Page '!B7&amp;": "&amp;'Cover-Input Page '!C7</f>
        <v>Company Name (Health Plan): Wellfleet Insurance Company</v>
      </c>
      <c r="B7" s="259"/>
      <c r="C7" s="259"/>
      <c r="D7" s="259"/>
    </row>
    <row r="8" spans="1:4" ht="16.5" customHeight="1" x14ac:dyDescent="0.35">
      <c r="A8" s="277" t="str">
        <f>"Reporting Year: "&amp;'Cover-Input Page '!$C$5</f>
        <v>Reporting Year: 2025</v>
      </c>
      <c r="B8" s="259"/>
      <c r="C8" s="259"/>
      <c r="D8" s="259"/>
    </row>
    <row r="9" spans="1:4" x14ac:dyDescent="0.35">
      <c r="A9" s="264"/>
      <c r="B9" s="259"/>
      <c r="C9" s="259"/>
    </row>
    <row r="10" spans="1:4" ht="90.75" customHeight="1" x14ac:dyDescent="0.35">
      <c r="A10" s="270" t="s">
        <v>387</v>
      </c>
      <c r="B10" s="278" t="str">
        <f>'Cover-Input Page '!$C$5&amp;" Paid Dollar Amount (PMPM)"</f>
        <v>2025 Paid Dollar Amount (PMPM)</v>
      </c>
      <c r="C10" s="269" t="s">
        <v>295</v>
      </c>
    </row>
    <row r="11" spans="1:4" ht="31" x14ac:dyDescent="0.35">
      <c r="A11" s="270" t="s">
        <v>296</v>
      </c>
      <c r="B11" s="71">
        <f>'LGPDCD-YoYcompofPrem'!B13</f>
        <v>0</v>
      </c>
      <c r="C11" s="307">
        <f>B11/$B$15</f>
        <v>0</v>
      </c>
    </row>
    <row r="12" spans="1:4" x14ac:dyDescent="0.35">
      <c r="A12" s="270"/>
      <c r="B12" s="337"/>
      <c r="C12" s="338"/>
    </row>
    <row r="13" spans="1:4" x14ac:dyDescent="0.35">
      <c r="A13" s="339" t="s">
        <v>297</v>
      </c>
      <c r="B13" s="71">
        <f>'LGPDCD-YoYcompofPrem'!B11+'LGPDCD-YoYcompofPrem'!B17+'LGPDCD-YoYcompofPrem'!B13</f>
        <v>369.98728955789932</v>
      </c>
      <c r="C13" s="307">
        <f>B13/$B$15</f>
        <v>1.1127616442656283</v>
      </c>
    </row>
    <row r="14" spans="1:4" ht="16.5" customHeight="1" x14ac:dyDescent="0.35"/>
    <row r="15" spans="1:4" ht="31" x14ac:dyDescent="0.35">
      <c r="A15" s="293" t="str">
        <f>'LGPDCD-PharmPctPrem'!A19</f>
        <v>Total Health Care Paid Premiums with pharmacy benefits carve-in (PMPM)</v>
      </c>
      <c r="B15" s="71">
        <f>'LGPDCD-PharmPctPrem'!B19</f>
        <v>332.49464650812439</v>
      </c>
      <c r="C15" s="340"/>
    </row>
    <row r="19" spans="2:2" x14ac:dyDescent="0.35">
      <c r="B19" s="341"/>
    </row>
  </sheetData>
  <sheetProtection algorithmName="SHA-512" hashValue="AjOFC9Tl/gfK+PAg5cjHrRqz/zqDjnyyqP1k9ymfcwvyQgWLiweQ+s5dz0TQtY3t1I3/0SelJwxNTqz6BPIIqw==" saltValue="4CLp/haKAAUp8Ba6o44JtA=="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91D86-9D93-42A8-9E5F-51D40B4EC4B6}">
  <dimension ref="A1:E118"/>
  <sheetViews>
    <sheetView showGridLines="0" topLeftCell="A10" zoomScale="120" zoomScaleNormal="120" zoomScaleSheetLayoutView="70" workbookViewId="0">
      <selection activeCell="A18" sqref="A18:E18"/>
    </sheetView>
  </sheetViews>
  <sheetFormatPr defaultColWidth="7.84375" defaultRowHeight="15.5" x14ac:dyDescent="0.35"/>
  <cols>
    <col min="1" max="1" width="53.3046875" style="258" customWidth="1"/>
    <col min="2" max="2" width="22.69140625" style="258" customWidth="1"/>
    <col min="3" max="3" width="19.84375" style="258" customWidth="1"/>
    <col min="4" max="4" width="26.69140625" style="258" customWidth="1"/>
    <col min="5" max="5" width="19.84375" style="258" customWidth="1"/>
    <col min="6" max="16384" width="7.84375" style="258"/>
  </cols>
  <sheetData>
    <row r="1" spans="1:5" x14ac:dyDescent="0.35">
      <c r="A1" s="257" t="s">
        <v>60</v>
      </c>
      <c r="B1" s="86"/>
      <c r="C1" s="86"/>
      <c r="D1" s="86"/>
      <c r="E1" s="86"/>
    </row>
    <row r="2" spans="1:5" x14ac:dyDescent="0.35">
      <c r="A2" s="257" t="s">
        <v>258</v>
      </c>
      <c r="B2" s="86"/>
      <c r="C2" s="86"/>
      <c r="D2" s="86"/>
      <c r="E2" s="86"/>
    </row>
    <row r="3" spans="1:5" x14ac:dyDescent="0.35">
      <c r="A3" s="257" t="s">
        <v>310</v>
      </c>
      <c r="B3" s="86"/>
      <c r="C3" s="86"/>
      <c r="D3" s="86"/>
      <c r="E3" s="86"/>
    </row>
    <row r="4" spans="1:5" x14ac:dyDescent="0.35">
      <c r="A4" s="262" t="s">
        <v>298</v>
      </c>
      <c r="B4" s="262"/>
      <c r="C4" s="262"/>
      <c r="D4" s="262"/>
      <c r="E4" s="262"/>
    </row>
    <row r="5" spans="1:5" x14ac:dyDescent="0.35">
      <c r="A5" s="262" t="s">
        <v>351</v>
      </c>
      <c r="B5" s="262"/>
      <c r="C5" s="262"/>
      <c r="D5" s="262"/>
      <c r="E5" s="262"/>
    </row>
    <row r="6" spans="1:5" x14ac:dyDescent="0.35">
      <c r="A6" s="263"/>
      <c r="B6" s="263"/>
      <c r="C6" s="263"/>
      <c r="D6" s="263"/>
      <c r="E6" s="263"/>
    </row>
    <row r="7" spans="1:5" x14ac:dyDescent="0.35">
      <c r="A7" s="277" t="str">
        <f>'Cover-Input Page '!B7&amp;": "&amp;'Cover-Input Page '!C7</f>
        <v>Company Name (Health Plan): Wellfleet Insurance Company</v>
      </c>
      <c r="D7" s="259"/>
      <c r="E7" s="259"/>
    </row>
    <row r="8" spans="1:5" x14ac:dyDescent="0.35">
      <c r="A8" s="277" t="str">
        <f>"Reporting Year: "&amp;'Cover-Input Page '!$C$5</f>
        <v>Reporting Year: 2025</v>
      </c>
      <c r="B8" s="283"/>
      <c r="C8" s="283"/>
      <c r="D8" s="259"/>
      <c r="E8" s="259"/>
    </row>
    <row r="9" spans="1:5" x14ac:dyDescent="0.35">
      <c r="A9" s="264"/>
    </row>
    <row r="10" spans="1:5" x14ac:dyDescent="0.35">
      <c r="A10" s="264" t="s">
        <v>299</v>
      </c>
      <c r="C10" s="272"/>
    </row>
    <row r="11" spans="1:5" ht="23.25" customHeight="1" x14ac:dyDescent="0.35">
      <c r="A11" s="275"/>
    </row>
    <row r="12" spans="1:5" ht="15.75" customHeight="1" x14ac:dyDescent="0.35">
      <c r="A12" s="264" t="s">
        <v>300</v>
      </c>
      <c r="B12" s="272"/>
      <c r="C12" s="272"/>
    </row>
    <row r="13" spans="1:5" ht="16" thickBot="1" x14ac:dyDescent="0.4">
      <c r="A13" s="299"/>
      <c r="B13" s="272"/>
      <c r="C13" s="272"/>
    </row>
    <row r="14" spans="1:5" x14ac:dyDescent="0.35">
      <c r="A14" s="308" t="s">
        <v>301</v>
      </c>
      <c r="B14" s="309"/>
      <c r="C14" s="309"/>
      <c r="D14" s="309"/>
      <c r="E14" s="310"/>
    </row>
    <row r="15" spans="1:5" x14ac:dyDescent="0.35">
      <c r="A15" s="311"/>
      <c r="B15" s="299"/>
      <c r="C15" s="299"/>
      <c r="D15" s="299"/>
      <c r="E15" s="312"/>
    </row>
    <row r="16" spans="1:5" ht="24" customHeight="1" x14ac:dyDescent="0.35">
      <c r="A16" s="313" t="s">
        <v>302</v>
      </c>
      <c r="B16" s="314" t="s">
        <v>303</v>
      </c>
      <c r="C16" s="315"/>
      <c r="D16" s="316"/>
      <c r="E16" s="317"/>
    </row>
    <row r="17" spans="1:5" x14ac:dyDescent="0.35">
      <c r="A17" s="318"/>
      <c r="B17" s="319" t="s">
        <v>304</v>
      </c>
      <c r="C17" s="319" t="s">
        <v>305</v>
      </c>
      <c r="D17" s="319" t="s">
        <v>306</v>
      </c>
      <c r="E17" s="320" t="s">
        <v>307</v>
      </c>
    </row>
    <row r="18" spans="1:5" x14ac:dyDescent="0.35">
      <c r="A18" s="321" t="s">
        <v>1896</v>
      </c>
      <c r="B18" s="319" t="s">
        <v>309</v>
      </c>
      <c r="C18" s="319" t="s">
        <v>309</v>
      </c>
      <c r="D18" s="320" t="s">
        <v>309</v>
      </c>
      <c r="E18" s="320" t="s">
        <v>309</v>
      </c>
    </row>
    <row r="19" spans="1:5" x14ac:dyDescent="0.35">
      <c r="A19" s="321"/>
      <c r="B19" s="319"/>
      <c r="C19" s="319"/>
      <c r="D19" s="319"/>
      <c r="E19" s="320"/>
    </row>
    <row r="20" spans="1:5" x14ac:dyDescent="0.35">
      <c r="A20" s="321"/>
      <c r="B20" s="319"/>
      <c r="C20" s="319"/>
      <c r="D20" s="319"/>
      <c r="E20" s="320"/>
    </row>
    <row r="21" spans="1:5" x14ac:dyDescent="0.35">
      <c r="A21" s="321"/>
      <c r="B21" s="319"/>
      <c r="C21" s="319"/>
      <c r="D21" s="319"/>
      <c r="E21" s="320"/>
    </row>
    <row r="22" spans="1:5" ht="16" thickBot="1" x14ac:dyDescent="0.4">
      <c r="A22" s="322"/>
      <c r="B22" s="323"/>
      <c r="C22" s="323"/>
      <c r="D22" s="323"/>
      <c r="E22" s="324"/>
    </row>
    <row r="24" spans="1:5" ht="16.5" customHeight="1" x14ac:dyDescent="0.35"/>
    <row r="25" spans="1:5" ht="16.5" customHeight="1" x14ac:dyDescent="0.35"/>
    <row r="26" spans="1:5" ht="16.5" customHeight="1" x14ac:dyDescent="0.35"/>
    <row r="117" spans="1:1" x14ac:dyDescent="0.35">
      <c r="A117" s="258" t="s">
        <v>309</v>
      </c>
    </row>
    <row r="118" spans="1:1" x14ac:dyDescent="0.35">
      <c r="A118" s="258" t="s">
        <v>308</v>
      </c>
    </row>
  </sheetData>
  <sheetProtection algorithmName="SHA-512" hashValue="Cm/0uT5+TCijfYzxed7QA5NT721HlsGVyEa4D5Zq0KMzbLnh+R4EleCZ2gn/v1LxwryZh2Aj6vffpdUqWNOHoQ==" saltValue="3aj+vN1HohJZbc3c7nKvZw==" spinCount="100000" sheet="1" selectLockedCells="1"/>
  <dataValidations count="1">
    <dataValidation type="list" allowBlank="1" showInputMessage="1" showErrorMessage="1" sqref="B18:E22" xr:uid="{183FE18B-73B6-4E26-B42C-713D1419D916}">
      <formula1>$A$116:$A$118</formula1>
    </dataValidation>
  </dataValidations>
  <printOptions horizontalCentered="1"/>
  <pageMargins left="0.7" right="0.7" top="0.75" bottom="0.75" header="0.3" footer="0.3"/>
  <pageSetup scale="65" fitToHeight="0" orientation="landscape" r:id="rId1"/>
  <headerFooter>
    <oddFooter>&amp;L&amp;A
Version Date: June 2,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0</xdr:col>
                    <xdr:colOff>984250</xdr:colOff>
                    <xdr:row>10</xdr:row>
                    <xdr:rowOff>0</xdr:rowOff>
                  </from>
                  <to>
                    <xdr:col>0</xdr:col>
                    <xdr:colOff>1365250</xdr:colOff>
                    <xdr:row>11</xdr:row>
                    <xdr:rowOff>38100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0</xdr:col>
                    <xdr:colOff>1746250</xdr:colOff>
                    <xdr:row>10</xdr:row>
                    <xdr:rowOff>31750</xdr:rowOff>
                  </from>
                  <to>
                    <xdr:col>0</xdr:col>
                    <xdr:colOff>2203450</xdr:colOff>
                    <xdr:row>11</xdr:row>
                    <xdr:rowOff>31750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6B718-7E8A-4E18-AEA6-C220D4BA55AB}">
  <sheetPr>
    <tabColor theme="0"/>
  </sheetPr>
  <dimension ref="A1:B29"/>
  <sheetViews>
    <sheetView showGridLines="0" topLeftCell="A20" workbookViewId="0">
      <selection activeCell="C23" sqref="C23"/>
    </sheetView>
  </sheetViews>
  <sheetFormatPr defaultColWidth="7.84375" defaultRowHeight="15.5" x14ac:dyDescent="0.35"/>
  <cols>
    <col min="1" max="1" width="22.07421875" style="61" customWidth="1"/>
    <col min="2" max="2" width="92.84375" style="61" customWidth="1"/>
    <col min="3" max="3" width="71.84375" style="56" customWidth="1"/>
    <col min="4" max="16384" width="7.84375" style="56"/>
  </cols>
  <sheetData>
    <row r="1" spans="1:2" x14ac:dyDescent="0.35">
      <c r="A1" s="46" t="s">
        <v>60</v>
      </c>
    </row>
    <row r="2" spans="1:2" x14ac:dyDescent="0.35">
      <c r="A2" s="46" t="s">
        <v>258</v>
      </c>
    </row>
    <row r="3" spans="1:2" x14ac:dyDescent="0.35">
      <c r="A3" s="46" t="s">
        <v>310</v>
      </c>
    </row>
    <row r="4" spans="1:2" x14ac:dyDescent="0.35">
      <c r="A4" s="47" t="s">
        <v>348</v>
      </c>
    </row>
    <row r="5" spans="1:2" x14ac:dyDescent="0.35">
      <c r="A5" s="47"/>
    </row>
    <row r="7" spans="1:2" x14ac:dyDescent="0.35">
      <c r="A7" s="55" t="s">
        <v>311</v>
      </c>
      <c r="B7" s="55" t="s">
        <v>312</v>
      </c>
    </row>
    <row r="8" spans="1:2" ht="46.5" x14ac:dyDescent="0.35">
      <c r="A8" s="57" t="s">
        <v>313</v>
      </c>
      <c r="B8" s="57" t="s">
        <v>314</v>
      </c>
    </row>
    <row r="9" spans="1:2" ht="31" x14ac:dyDescent="0.35">
      <c r="A9" s="57" t="s">
        <v>315</v>
      </c>
      <c r="B9" s="57" t="s">
        <v>316</v>
      </c>
    </row>
    <row r="10" spans="1:2" ht="31" x14ac:dyDescent="0.35">
      <c r="A10" s="57" t="s">
        <v>317</v>
      </c>
      <c r="B10" s="57" t="s">
        <v>435</v>
      </c>
    </row>
    <row r="11" spans="1:2" ht="46.5" x14ac:dyDescent="0.35">
      <c r="A11" s="2" t="s">
        <v>318</v>
      </c>
      <c r="B11" s="1" t="s">
        <v>407</v>
      </c>
    </row>
    <row r="12" spans="1:2" ht="46.5" x14ac:dyDescent="0.35">
      <c r="A12" s="58" t="s">
        <v>319</v>
      </c>
      <c r="B12" s="1" t="s">
        <v>403</v>
      </c>
    </row>
    <row r="13" spans="1:2" ht="31" x14ac:dyDescent="0.35">
      <c r="A13" s="57" t="s">
        <v>320</v>
      </c>
      <c r="B13" s="57" t="s">
        <v>321</v>
      </c>
    </row>
    <row r="14" spans="1:2" x14ac:dyDescent="0.35">
      <c r="A14" s="57" t="s">
        <v>322</v>
      </c>
      <c r="B14" s="57" t="s">
        <v>323</v>
      </c>
    </row>
    <row r="15" spans="1:2" ht="31" x14ac:dyDescent="0.35">
      <c r="A15" s="57" t="s">
        <v>324</v>
      </c>
      <c r="B15" s="57" t="s">
        <v>325</v>
      </c>
    </row>
    <row r="16" spans="1:2" ht="77.5" x14ac:dyDescent="0.35">
      <c r="A16" s="59" t="s">
        <v>326</v>
      </c>
      <c r="B16" s="59" t="s">
        <v>404</v>
      </c>
    </row>
    <row r="17" spans="1:2" ht="31" x14ac:dyDescent="0.35">
      <c r="A17" s="58" t="s">
        <v>327</v>
      </c>
      <c r="B17" s="57" t="s">
        <v>328</v>
      </c>
    </row>
    <row r="18" spans="1:2" ht="62" x14ac:dyDescent="0.35">
      <c r="A18" s="58" t="s">
        <v>329</v>
      </c>
      <c r="B18" s="57" t="s">
        <v>330</v>
      </c>
    </row>
    <row r="19" spans="1:2" ht="186" x14ac:dyDescent="0.35">
      <c r="A19" s="57" t="s">
        <v>331</v>
      </c>
      <c r="B19" s="57" t="s">
        <v>332</v>
      </c>
    </row>
    <row r="20" spans="1:2" ht="62" x14ac:dyDescent="0.35">
      <c r="A20" s="59" t="s">
        <v>333</v>
      </c>
      <c r="B20" s="60" t="s">
        <v>334</v>
      </c>
    </row>
    <row r="21" spans="1:2" ht="31" x14ac:dyDescent="0.35">
      <c r="A21" s="57" t="s">
        <v>335</v>
      </c>
      <c r="B21" s="57" t="s">
        <v>336</v>
      </c>
    </row>
    <row r="22" spans="1:2" ht="31" x14ac:dyDescent="0.35">
      <c r="A22" s="57" t="s">
        <v>337</v>
      </c>
      <c r="B22" s="57" t="s">
        <v>336</v>
      </c>
    </row>
    <row r="23" spans="1:2" ht="62" x14ac:dyDescent="0.35">
      <c r="A23" s="57" t="s">
        <v>338</v>
      </c>
      <c r="B23" s="57" t="s">
        <v>339</v>
      </c>
    </row>
    <row r="24" spans="1:2" ht="62" x14ac:dyDescent="0.35">
      <c r="A24" s="57" t="s">
        <v>340</v>
      </c>
      <c r="B24" s="57" t="s">
        <v>341</v>
      </c>
    </row>
    <row r="25" spans="1:2" ht="155" x14ac:dyDescent="0.35">
      <c r="A25" s="59" t="s">
        <v>342</v>
      </c>
      <c r="B25" s="59" t="s">
        <v>343</v>
      </c>
    </row>
    <row r="26" spans="1:2" ht="46.5" x14ac:dyDescent="0.35">
      <c r="A26" s="58" t="s">
        <v>344</v>
      </c>
      <c r="B26" s="1" t="s">
        <v>405</v>
      </c>
    </row>
    <row r="27" spans="1:2" x14ac:dyDescent="0.35">
      <c r="A27" s="58" t="s">
        <v>345</v>
      </c>
      <c r="B27" s="1" t="s">
        <v>406</v>
      </c>
    </row>
    <row r="28" spans="1:2" ht="139.5" x14ac:dyDescent="0.35">
      <c r="A28" s="57" t="s">
        <v>346</v>
      </c>
      <c r="B28" s="59" t="s">
        <v>347</v>
      </c>
    </row>
    <row r="29" spans="1:2" x14ac:dyDescent="0.35">
      <c r="A29" s="56"/>
      <c r="B29" s="56"/>
    </row>
  </sheetData>
  <printOptions horizontalCentered="1"/>
  <pageMargins left="0.7" right="0.7" top="0.75" bottom="0.75" header="0.3" footer="0.3"/>
  <pageSetup scale="65" orientation="landscape" r:id="rId1"/>
  <headerFooter>
    <oddFooter>&amp;L&amp;A
Version Date: June 2,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0D142-B036-41D8-8354-A0A22BF3CFD7}">
  <dimension ref="B1:K121"/>
  <sheetViews>
    <sheetView showGridLines="0" topLeftCell="A9" workbookViewId="0">
      <selection activeCell="E75" sqref="E75"/>
    </sheetView>
  </sheetViews>
  <sheetFormatPr defaultColWidth="8.84375" defaultRowHeight="15.5" x14ac:dyDescent="0.35"/>
  <cols>
    <col min="1" max="1" width="3.07421875" style="105" customWidth="1"/>
    <col min="2" max="2" width="10.07421875" style="105" customWidth="1"/>
    <col min="3" max="4" width="12.84375" style="105" customWidth="1"/>
    <col min="5" max="5" width="16.3046875" style="105" customWidth="1"/>
    <col min="6" max="7" width="16" style="105" customWidth="1"/>
    <col min="8" max="8" width="13.84375" style="105" customWidth="1"/>
    <col min="9" max="9" width="12.07421875" style="105" customWidth="1"/>
    <col min="10" max="10" width="12.84375" style="105" customWidth="1"/>
    <col min="11" max="16384" width="8.84375" style="105"/>
  </cols>
  <sheetData>
    <row r="1" spans="2:10" ht="18" x14ac:dyDescent="0.4">
      <c r="B1" s="104" t="s">
        <v>47</v>
      </c>
    </row>
    <row r="2" spans="2:10" ht="16" thickBot="1" x14ac:dyDescent="0.4"/>
    <row r="3" spans="2:10" ht="16" thickBot="1" x14ac:dyDescent="0.4">
      <c r="B3" s="106" t="s">
        <v>48</v>
      </c>
      <c r="C3" s="107"/>
      <c r="D3" s="107"/>
      <c r="E3" s="108"/>
    </row>
    <row r="4" spans="2:10" ht="16" thickBot="1" x14ac:dyDescent="0.4">
      <c r="B4" s="363" t="str">
        <f>'Cover-Input Page '!C7</f>
        <v>Wellfleet Insurance Company</v>
      </c>
      <c r="C4" s="109"/>
      <c r="D4" s="109"/>
      <c r="E4" s="109"/>
      <c r="F4" s="109"/>
      <c r="G4" s="109"/>
      <c r="H4" s="109"/>
      <c r="I4" s="110"/>
    </row>
    <row r="5" spans="2:10" ht="16" thickBot="1" x14ac:dyDescent="0.4"/>
    <row r="6" spans="2:10" ht="18.5" thickBot="1" x14ac:dyDescent="0.4">
      <c r="B6" s="111" t="s">
        <v>104</v>
      </c>
      <c r="C6" s="112"/>
      <c r="D6" s="112"/>
      <c r="E6" s="112"/>
      <c r="F6" s="112"/>
      <c r="G6" s="112"/>
      <c r="H6" s="112"/>
      <c r="I6" s="113"/>
    </row>
    <row r="7" spans="2:10" ht="16" thickBot="1" x14ac:dyDescent="0.4">
      <c r="B7" s="364">
        <f>'Cover-Input Page '!C5</f>
        <v>2025</v>
      </c>
    </row>
    <row r="8" spans="2:10" ht="16" thickBot="1" x14ac:dyDescent="0.4"/>
    <row r="9" spans="2:10" ht="16" thickBot="1" x14ac:dyDescent="0.4">
      <c r="B9" s="111" t="s">
        <v>49</v>
      </c>
      <c r="C9" s="112"/>
      <c r="D9" s="112"/>
      <c r="E9" s="112"/>
      <c r="F9" s="112"/>
      <c r="G9" s="112"/>
      <c r="H9" s="112"/>
      <c r="I9" s="112"/>
      <c r="J9" s="113"/>
    </row>
    <row r="11" spans="2:10" ht="19" thickBot="1" x14ac:dyDescent="0.4">
      <c r="C11" s="114" t="s">
        <v>101</v>
      </c>
    </row>
    <row r="12" spans="2:10" ht="16" thickBot="1" x14ac:dyDescent="0.4">
      <c r="C12" s="105" t="s">
        <v>79</v>
      </c>
      <c r="I12" s="102">
        <v>0.1117172453928225</v>
      </c>
    </row>
    <row r="13" spans="2:10" ht="16" thickBot="1" x14ac:dyDescent="0.4">
      <c r="C13" s="105" t="s">
        <v>80</v>
      </c>
      <c r="I13" s="102">
        <v>0.246</v>
      </c>
    </row>
    <row r="14" spans="2:10" ht="19" thickBot="1" x14ac:dyDescent="0.4">
      <c r="C14" s="114" t="s">
        <v>102</v>
      </c>
      <c r="I14" s="115"/>
    </row>
    <row r="15" spans="2:10" ht="16" thickBot="1" x14ac:dyDescent="0.4">
      <c r="C15" s="105" t="s">
        <v>79</v>
      </c>
      <c r="I15" s="102">
        <v>0.1117172453928225</v>
      </c>
    </row>
    <row r="16" spans="2:10" ht="18.5" x14ac:dyDescent="0.35">
      <c r="C16" s="105" t="s">
        <v>103</v>
      </c>
      <c r="I16" s="103">
        <v>0.246</v>
      </c>
    </row>
    <row r="17" spans="2:10" x14ac:dyDescent="0.35">
      <c r="B17" s="116"/>
      <c r="C17" s="116"/>
      <c r="D17" s="116"/>
      <c r="E17" s="116"/>
      <c r="F17" s="116"/>
      <c r="G17" s="116"/>
      <c r="H17" s="116"/>
      <c r="I17" s="116"/>
      <c r="J17" s="116"/>
    </row>
    <row r="18" spans="2:10" ht="19" thickBot="1" x14ac:dyDescent="0.4">
      <c r="B18" s="105" t="s">
        <v>257</v>
      </c>
      <c r="I18" s="365">
        <f>B7</f>
        <v>2025</v>
      </c>
    </row>
    <row r="19" spans="2:10" ht="18.5" x14ac:dyDescent="0.35">
      <c r="B19" s="105" t="s">
        <v>81</v>
      </c>
    </row>
    <row r="20" spans="2:10" x14ac:dyDescent="0.35">
      <c r="B20" s="105" t="s">
        <v>182</v>
      </c>
    </row>
    <row r="21" spans="2:10" x14ac:dyDescent="0.35">
      <c r="B21" s="105" t="s">
        <v>388</v>
      </c>
    </row>
    <row r="22" spans="2:10" ht="18.5" x14ac:dyDescent="0.35">
      <c r="B22" s="105" t="s">
        <v>82</v>
      </c>
    </row>
    <row r="23" spans="2:10" x14ac:dyDescent="0.35">
      <c r="B23" s="105" t="s">
        <v>183</v>
      </c>
    </row>
    <row r="24" spans="2:10" ht="18.5" x14ac:dyDescent="0.35">
      <c r="B24" s="105" t="s">
        <v>181</v>
      </c>
    </row>
    <row r="25" spans="2:10" x14ac:dyDescent="0.35">
      <c r="B25" s="105" t="s">
        <v>184</v>
      </c>
    </row>
    <row r="26" spans="2:10" x14ac:dyDescent="0.35">
      <c r="B26" s="105" t="s">
        <v>185</v>
      </c>
    </row>
    <row r="27" spans="2:10" ht="16" thickBot="1" x14ac:dyDescent="0.4"/>
    <row r="28" spans="2:10" ht="16" thickBot="1" x14ac:dyDescent="0.4">
      <c r="B28" s="111" t="s">
        <v>50</v>
      </c>
      <c r="C28" s="112"/>
      <c r="D28" s="112"/>
      <c r="E28" s="112"/>
      <c r="F28" s="112"/>
      <c r="G28" s="112"/>
      <c r="H28" s="112"/>
      <c r="I28" s="112"/>
      <c r="J28" s="113"/>
    </row>
    <row r="30" spans="2:10" x14ac:dyDescent="0.35">
      <c r="B30" s="117">
        <v>1</v>
      </c>
      <c r="C30" s="118">
        <v>2</v>
      </c>
      <c r="D30" s="118">
        <v>3</v>
      </c>
      <c r="E30" s="118">
        <v>4</v>
      </c>
      <c r="F30" s="118">
        <v>5</v>
      </c>
      <c r="G30" s="118">
        <v>6</v>
      </c>
      <c r="H30" s="118">
        <v>7</v>
      </c>
      <c r="I30" s="118">
        <v>8</v>
      </c>
      <c r="J30" s="119">
        <v>9</v>
      </c>
    </row>
    <row r="31" spans="2:10" ht="93" x14ac:dyDescent="0.35">
      <c r="B31" s="120" t="s">
        <v>0</v>
      </c>
      <c r="C31" s="120" t="s">
        <v>1</v>
      </c>
      <c r="D31" s="120" t="s">
        <v>15</v>
      </c>
      <c r="E31" s="120" t="s">
        <v>19</v>
      </c>
      <c r="F31" s="120" t="s">
        <v>194</v>
      </c>
      <c r="G31" s="120" t="s">
        <v>18</v>
      </c>
      <c r="H31" s="120" t="s">
        <v>16</v>
      </c>
      <c r="I31" s="120" t="s">
        <v>17</v>
      </c>
      <c r="J31" s="121" t="s">
        <v>256</v>
      </c>
    </row>
    <row r="32" spans="2:10" x14ac:dyDescent="0.35">
      <c r="B32" s="122" t="s">
        <v>2</v>
      </c>
      <c r="C32" s="123"/>
      <c r="D32" s="148">
        <f>IFERROR(C32/C$44,0)</f>
        <v>0</v>
      </c>
      <c r="E32" s="123"/>
      <c r="F32" s="123"/>
      <c r="G32" s="366">
        <f>SUM(E32:F32)</f>
        <v>0</v>
      </c>
      <c r="H32" s="124"/>
      <c r="I32" s="124"/>
      <c r="J32" s="148" t="str">
        <f>IF(H32=0,"",I32/H32-1)</f>
        <v/>
      </c>
    </row>
    <row r="33" spans="2:11" x14ac:dyDescent="0.35">
      <c r="B33" s="125" t="s">
        <v>3</v>
      </c>
      <c r="C33" s="126"/>
      <c r="D33" s="148">
        <f t="shared" ref="D33:D43" si="0">IFERROR(C33/C$44,0)</f>
        <v>0</v>
      </c>
      <c r="E33" s="126"/>
      <c r="F33" s="126"/>
      <c r="G33" s="367">
        <f t="shared" ref="G33:G44" si="1">SUM(E33:F33)</f>
        <v>0</v>
      </c>
      <c r="H33" s="124"/>
      <c r="I33" s="124"/>
      <c r="J33" s="148" t="str">
        <f t="shared" ref="J33:J44" si="2">IF(H33=0,"",I33/H33-1)</f>
        <v/>
      </c>
    </row>
    <row r="34" spans="2:11" x14ac:dyDescent="0.35">
      <c r="B34" s="125" t="s">
        <v>4</v>
      </c>
      <c r="C34" s="126"/>
      <c r="D34" s="148">
        <f t="shared" si="0"/>
        <v>0</v>
      </c>
      <c r="E34" s="126"/>
      <c r="F34" s="126"/>
      <c r="G34" s="367">
        <f t="shared" si="1"/>
        <v>0</v>
      </c>
      <c r="H34" s="124"/>
      <c r="I34" s="124"/>
      <c r="J34" s="148" t="str">
        <f t="shared" si="2"/>
        <v/>
      </c>
    </row>
    <row r="35" spans="2:11" x14ac:dyDescent="0.35">
      <c r="B35" s="125" t="s">
        <v>5</v>
      </c>
      <c r="C35" s="126"/>
      <c r="D35" s="148">
        <f t="shared" si="0"/>
        <v>0</v>
      </c>
      <c r="E35" s="126"/>
      <c r="F35" s="126"/>
      <c r="G35" s="367">
        <f t="shared" si="1"/>
        <v>0</v>
      </c>
      <c r="H35" s="124"/>
      <c r="I35" s="124"/>
      <c r="J35" s="148" t="str">
        <f t="shared" si="2"/>
        <v/>
      </c>
    </row>
    <row r="36" spans="2:11" x14ac:dyDescent="0.35">
      <c r="B36" s="125" t="s">
        <v>6</v>
      </c>
      <c r="C36" s="126"/>
      <c r="D36" s="148">
        <f t="shared" si="0"/>
        <v>0</v>
      </c>
      <c r="E36" s="126"/>
      <c r="F36" s="126"/>
      <c r="G36" s="367">
        <f t="shared" si="1"/>
        <v>0</v>
      </c>
      <c r="H36" s="124"/>
      <c r="I36" s="124"/>
      <c r="J36" s="148" t="str">
        <f t="shared" si="2"/>
        <v/>
      </c>
    </row>
    <row r="37" spans="2:11" x14ac:dyDescent="0.35">
      <c r="B37" s="125" t="s">
        <v>7</v>
      </c>
      <c r="C37" s="126"/>
      <c r="D37" s="148">
        <f t="shared" si="0"/>
        <v>0</v>
      </c>
      <c r="E37" s="126"/>
      <c r="F37" s="126"/>
      <c r="G37" s="367">
        <f t="shared" si="1"/>
        <v>0</v>
      </c>
      <c r="H37" s="124"/>
      <c r="I37" s="124"/>
      <c r="J37" s="148" t="str">
        <f t="shared" si="2"/>
        <v/>
      </c>
    </row>
    <row r="38" spans="2:11" x14ac:dyDescent="0.35">
      <c r="B38" s="125" t="s">
        <v>8</v>
      </c>
      <c r="C38" s="126"/>
      <c r="D38" s="148">
        <f t="shared" si="0"/>
        <v>0</v>
      </c>
      <c r="E38" s="126"/>
      <c r="F38" s="126"/>
      <c r="G38" s="367">
        <f t="shared" si="1"/>
        <v>0</v>
      </c>
      <c r="H38" s="124"/>
      <c r="I38" s="124"/>
      <c r="J38" s="148" t="str">
        <f t="shared" si="2"/>
        <v/>
      </c>
    </row>
    <row r="39" spans="2:11" x14ac:dyDescent="0.35">
      <c r="B39" s="125" t="s">
        <v>9</v>
      </c>
      <c r="C39" s="126">
        <v>8</v>
      </c>
      <c r="D39" s="148">
        <f t="shared" si="0"/>
        <v>0.88888888888888884</v>
      </c>
      <c r="E39" s="126">
        <f>(618600-226752)/12</f>
        <v>32654</v>
      </c>
      <c r="F39" s="126">
        <v>0</v>
      </c>
      <c r="G39" s="367">
        <f t="shared" si="1"/>
        <v>32654</v>
      </c>
      <c r="H39" s="124">
        <v>500.0355239786856</v>
      </c>
      <c r="I39" s="124">
        <v>603.51510130458746</v>
      </c>
      <c r="J39" s="148">
        <f t="shared" si="2"/>
        <v>0.20694445167122311</v>
      </c>
      <c r="K39" s="394"/>
    </row>
    <row r="40" spans="2:11" x14ac:dyDescent="0.35">
      <c r="B40" s="125" t="s">
        <v>10</v>
      </c>
      <c r="C40" s="126">
        <v>1</v>
      </c>
      <c r="D40" s="148">
        <f t="shared" si="0"/>
        <v>0.1111111111111111</v>
      </c>
      <c r="E40" s="126">
        <f>226752/12</f>
        <v>18896</v>
      </c>
      <c r="F40" s="126">
        <v>0</v>
      </c>
      <c r="G40" s="367">
        <f t="shared" si="1"/>
        <v>18896</v>
      </c>
      <c r="H40" s="124">
        <v>304</v>
      </c>
      <c r="I40" s="124">
        <v>282.11200000000002</v>
      </c>
      <c r="J40" s="148">
        <f t="shared" si="2"/>
        <v>-7.1999999999999953E-2</v>
      </c>
    </row>
    <row r="41" spans="2:11" x14ac:dyDescent="0.35">
      <c r="B41" s="125" t="s">
        <v>11</v>
      </c>
      <c r="C41" s="126"/>
      <c r="D41" s="148">
        <f t="shared" si="0"/>
        <v>0</v>
      </c>
      <c r="E41" s="126"/>
      <c r="F41" s="126"/>
      <c r="G41" s="367">
        <f t="shared" si="1"/>
        <v>0</v>
      </c>
      <c r="H41" s="124"/>
      <c r="I41" s="124"/>
      <c r="J41" s="148" t="str">
        <f t="shared" si="2"/>
        <v/>
      </c>
    </row>
    <row r="42" spans="2:11" x14ac:dyDescent="0.35">
      <c r="B42" s="125" t="s">
        <v>12</v>
      </c>
      <c r="C42" s="126"/>
      <c r="D42" s="148">
        <f t="shared" si="0"/>
        <v>0</v>
      </c>
      <c r="E42" s="126"/>
      <c r="F42" s="126"/>
      <c r="G42" s="367">
        <f t="shared" si="1"/>
        <v>0</v>
      </c>
      <c r="H42" s="124"/>
      <c r="I42" s="124"/>
      <c r="J42" s="148" t="str">
        <f t="shared" si="2"/>
        <v/>
      </c>
    </row>
    <row r="43" spans="2:11" x14ac:dyDescent="0.35">
      <c r="B43" s="125" t="s">
        <v>13</v>
      </c>
      <c r="C43" s="126"/>
      <c r="D43" s="148">
        <f t="shared" si="0"/>
        <v>0</v>
      </c>
      <c r="E43" s="126"/>
      <c r="F43" s="126"/>
      <c r="G43" s="367">
        <f t="shared" si="1"/>
        <v>0</v>
      </c>
      <c r="H43" s="124"/>
      <c r="I43" s="124"/>
      <c r="J43" s="148" t="str">
        <f t="shared" si="2"/>
        <v/>
      </c>
    </row>
    <row r="44" spans="2:11" x14ac:dyDescent="0.35">
      <c r="B44" s="128" t="s">
        <v>14</v>
      </c>
      <c r="C44" s="368">
        <f>SUM(C32:C43)</f>
        <v>9</v>
      </c>
      <c r="D44" s="149">
        <f>SUM(D32:D43)</f>
        <v>1</v>
      </c>
      <c r="E44" s="368">
        <f>SUM(E32:E43)</f>
        <v>51550</v>
      </c>
      <c r="F44" s="368">
        <f>SUM(F32:F43)</f>
        <v>0</v>
      </c>
      <c r="G44" s="368">
        <f t="shared" si="1"/>
        <v>51550</v>
      </c>
      <c r="H44" s="369">
        <f>SUMPRODUCT(H32:H43,$G32:$G43)/$G44</f>
        <v>428.17738118331715</v>
      </c>
      <c r="I44" s="369">
        <f>SUMPRODUCT(I32:I43,$G32:$G43)/$G44</f>
        <v>485.70262793404464</v>
      </c>
      <c r="J44" s="150">
        <f t="shared" si="2"/>
        <v>0.134349102214951</v>
      </c>
      <c r="K44" s="394"/>
    </row>
    <row r="45" spans="2:11" x14ac:dyDescent="0.35">
      <c r="B45" s="116"/>
      <c r="C45" s="116"/>
      <c r="D45" s="116"/>
      <c r="E45" s="116"/>
      <c r="F45" s="116"/>
      <c r="G45" s="116"/>
      <c r="H45" s="116"/>
      <c r="I45" s="116"/>
      <c r="J45" s="116"/>
    </row>
    <row r="46" spans="2:11" ht="18.5" x14ac:dyDescent="0.35">
      <c r="B46" s="129" t="s">
        <v>20</v>
      </c>
    </row>
    <row r="47" spans="2:11" ht="18.5" x14ac:dyDescent="0.35">
      <c r="B47" s="129" t="s">
        <v>21</v>
      </c>
    </row>
    <row r="48" spans="2:11" x14ac:dyDescent="0.35">
      <c r="B48" s="129" t="s">
        <v>22</v>
      </c>
    </row>
    <row r="49" spans="2:11" x14ac:dyDescent="0.35">
      <c r="B49" s="129" t="s">
        <v>23</v>
      </c>
    </row>
    <row r="50" spans="2:11" x14ac:dyDescent="0.35">
      <c r="B50" s="129"/>
    </row>
    <row r="51" spans="2:11" x14ac:dyDescent="0.35">
      <c r="B51" s="129" t="s">
        <v>187</v>
      </c>
    </row>
    <row r="52" spans="2:11" x14ac:dyDescent="0.35">
      <c r="B52" s="129"/>
    </row>
    <row r="53" spans="2:11" x14ac:dyDescent="0.35">
      <c r="B53" s="129" t="s">
        <v>188</v>
      </c>
    </row>
    <row r="54" spans="2:11" x14ac:dyDescent="0.35">
      <c r="B54" s="129" t="s">
        <v>389</v>
      </c>
    </row>
    <row r="55" spans="2:11" x14ac:dyDescent="0.35">
      <c r="B55" s="130"/>
      <c r="C55" s="131"/>
      <c r="D55" s="131"/>
      <c r="E55" s="131"/>
      <c r="F55" s="131"/>
      <c r="G55" s="131"/>
      <c r="H55" s="131"/>
      <c r="I55" s="131"/>
      <c r="J55" s="131"/>
      <c r="K55" s="132"/>
    </row>
    <row r="56" spans="2:11" x14ac:dyDescent="0.35">
      <c r="B56" s="133"/>
      <c r="K56" s="134"/>
    </row>
    <row r="57" spans="2:11" x14ac:dyDescent="0.35">
      <c r="B57" s="133"/>
      <c r="K57" s="134"/>
    </row>
    <row r="58" spans="2:11" x14ac:dyDescent="0.35">
      <c r="B58" s="133"/>
      <c r="K58" s="134"/>
    </row>
    <row r="59" spans="2:11" x14ac:dyDescent="0.35">
      <c r="B59" s="140"/>
      <c r="K59" s="134"/>
    </row>
    <row r="60" spans="2:11" x14ac:dyDescent="0.35">
      <c r="B60" s="133"/>
      <c r="K60" s="134"/>
    </row>
    <row r="61" spans="2:11" x14ac:dyDescent="0.35">
      <c r="B61" s="133"/>
      <c r="K61" s="134"/>
    </row>
    <row r="62" spans="2:11" x14ac:dyDescent="0.35">
      <c r="B62" s="133"/>
      <c r="K62" s="134"/>
    </row>
    <row r="63" spans="2:11" x14ac:dyDescent="0.35">
      <c r="B63" s="133"/>
      <c r="K63" s="134"/>
    </row>
    <row r="64" spans="2:11" x14ac:dyDescent="0.35">
      <c r="B64" s="133"/>
      <c r="K64" s="134"/>
    </row>
    <row r="65" spans="2:11" x14ac:dyDescent="0.35">
      <c r="B65" s="133"/>
      <c r="K65" s="134"/>
    </row>
    <row r="66" spans="2:11" x14ac:dyDescent="0.35">
      <c r="B66" s="135"/>
      <c r="C66" s="116"/>
      <c r="D66" s="116"/>
      <c r="E66" s="116"/>
      <c r="F66" s="116"/>
      <c r="G66" s="116"/>
      <c r="H66" s="116"/>
      <c r="I66" s="116"/>
      <c r="J66" s="116"/>
      <c r="K66" s="136"/>
    </row>
    <row r="67" spans="2:11" ht="16" thickBot="1" x14ac:dyDescent="0.4"/>
    <row r="68" spans="2:11" ht="16" thickBot="1" x14ac:dyDescent="0.4">
      <c r="B68" s="111" t="s">
        <v>83</v>
      </c>
      <c r="C68" s="112"/>
      <c r="D68" s="112"/>
      <c r="E68" s="112"/>
      <c r="F68" s="112"/>
      <c r="G68" s="112"/>
      <c r="H68" s="112"/>
      <c r="I68" s="112"/>
      <c r="J68" s="113"/>
    </row>
    <row r="70" spans="2:11" x14ac:dyDescent="0.35">
      <c r="B70" s="137">
        <v>1</v>
      </c>
      <c r="C70" s="118">
        <v>2</v>
      </c>
      <c r="D70" s="118">
        <v>3</v>
      </c>
      <c r="E70" s="118">
        <v>4</v>
      </c>
      <c r="F70" s="118">
        <v>5</v>
      </c>
      <c r="G70" s="118">
        <v>6</v>
      </c>
      <c r="H70" s="118">
        <v>7</v>
      </c>
      <c r="I70" s="118">
        <v>8</v>
      </c>
      <c r="J70" s="119">
        <v>9</v>
      </c>
    </row>
    <row r="71" spans="2:11" ht="93" x14ac:dyDescent="0.35">
      <c r="B71" s="120" t="s">
        <v>0</v>
      </c>
      <c r="C71" s="120" t="s">
        <v>1</v>
      </c>
      <c r="D71" s="120" t="s">
        <v>15</v>
      </c>
      <c r="E71" s="120" t="s">
        <v>19</v>
      </c>
      <c r="F71" s="120" t="s">
        <v>194</v>
      </c>
      <c r="G71" s="120" t="s">
        <v>18</v>
      </c>
      <c r="H71" s="120" t="s">
        <v>16</v>
      </c>
      <c r="I71" s="120" t="s">
        <v>17</v>
      </c>
      <c r="J71" s="120" t="s">
        <v>256</v>
      </c>
    </row>
    <row r="72" spans="2:11" ht="62" x14ac:dyDescent="0.35">
      <c r="B72" s="138" t="s">
        <v>24</v>
      </c>
      <c r="C72" s="123"/>
      <c r="D72" s="148">
        <f>IFERROR(C72/C$75,0)</f>
        <v>0</v>
      </c>
      <c r="E72" s="123"/>
      <c r="F72" s="123"/>
      <c r="G72" s="366">
        <f>SUM(E72:F72)</f>
        <v>0</v>
      </c>
      <c r="H72" s="124"/>
      <c r="I72" s="124"/>
      <c r="J72" s="148" t="str">
        <f>IF(H72=0,"",I72/H72-1)</f>
        <v/>
      </c>
    </row>
    <row r="73" spans="2:11" ht="31" x14ac:dyDescent="0.35">
      <c r="B73" s="122" t="s">
        <v>25</v>
      </c>
      <c r="C73" s="126">
        <v>2</v>
      </c>
      <c r="D73" s="151">
        <f t="shared" ref="D73:D74" si="3">IFERROR(C73/C$75,0)</f>
        <v>0.22222222222222221</v>
      </c>
      <c r="E73" s="126">
        <v>131</v>
      </c>
      <c r="F73" s="126">
        <v>0</v>
      </c>
      <c r="G73" s="367">
        <f t="shared" ref="G73:G75" si="4">SUM(E73:F73)</f>
        <v>131</v>
      </c>
      <c r="H73" s="124">
        <v>274.64122137404581</v>
      </c>
      <c r="I73" s="124">
        <v>297.96522137404577</v>
      </c>
      <c r="J73" s="148">
        <f t="shared" ref="J73:J75" si="5">IF(H73=0,"",I73/H73-1)</f>
        <v>8.4925343265328745E-2</v>
      </c>
    </row>
    <row r="74" spans="2:11" ht="46.5" x14ac:dyDescent="0.35">
      <c r="B74" s="122" t="s">
        <v>26</v>
      </c>
      <c r="C74" s="126">
        <v>7</v>
      </c>
      <c r="D74" s="151">
        <f t="shared" si="3"/>
        <v>0.77777777777777779</v>
      </c>
      <c r="E74" s="126">
        <v>51419</v>
      </c>
      <c r="F74" s="126">
        <v>0</v>
      </c>
      <c r="G74" s="367">
        <f t="shared" si="4"/>
        <v>51419</v>
      </c>
      <c r="H74" s="124">
        <v>428.568544701375</v>
      </c>
      <c r="I74" s="124">
        <v>486.18092584453223</v>
      </c>
      <c r="J74" s="148">
        <f t="shared" si="5"/>
        <v>0.1344297939161665</v>
      </c>
    </row>
    <row r="75" spans="2:11" x14ac:dyDescent="0.35">
      <c r="B75" s="128" t="s">
        <v>14</v>
      </c>
      <c r="C75" s="370">
        <f>SUM(C72:C74)</f>
        <v>9</v>
      </c>
      <c r="D75" s="152">
        <f>SUM(D72:D74)</f>
        <v>1</v>
      </c>
      <c r="E75" s="370">
        <f>SUM(E72:E74)</f>
        <v>51550</v>
      </c>
      <c r="F75" s="370">
        <f>SUM(F72:F74)</f>
        <v>0</v>
      </c>
      <c r="G75" s="370">
        <f t="shared" si="4"/>
        <v>51550</v>
      </c>
      <c r="H75" s="371">
        <f>SUMPRODUCT(H72:H74,$G72:$G74)/$G75</f>
        <v>428.17738118331715</v>
      </c>
      <c r="I75" s="371">
        <f>SUMPRODUCT(I72:I74,$G72:$G74)/$G75</f>
        <v>485.70262793404464</v>
      </c>
      <c r="J75" s="153">
        <f t="shared" si="5"/>
        <v>0.134349102214951</v>
      </c>
    </row>
    <row r="77" spans="2:11" x14ac:dyDescent="0.35">
      <c r="B77" s="105" t="s">
        <v>189</v>
      </c>
    </row>
    <row r="78" spans="2:11" x14ac:dyDescent="0.35">
      <c r="B78" s="105" t="s">
        <v>190</v>
      </c>
    </row>
    <row r="79" spans="2:11" x14ac:dyDescent="0.35">
      <c r="B79" s="105" t="s">
        <v>191</v>
      </c>
    </row>
    <row r="81" spans="2:11" x14ac:dyDescent="0.35">
      <c r="B81" s="130"/>
      <c r="C81" s="131"/>
      <c r="D81" s="131"/>
      <c r="E81" s="131"/>
      <c r="F81" s="131"/>
      <c r="G81" s="131"/>
      <c r="H81" s="131"/>
      <c r="I81" s="131"/>
      <c r="J81" s="131"/>
      <c r="K81" s="132"/>
    </row>
    <row r="82" spans="2:11" x14ac:dyDescent="0.35">
      <c r="B82" s="133"/>
      <c r="K82" s="134"/>
    </row>
    <row r="83" spans="2:11" x14ac:dyDescent="0.35">
      <c r="B83" s="133"/>
      <c r="K83" s="134"/>
    </row>
    <row r="84" spans="2:11" x14ac:dyDescent="0.35">
      <c r="B84" s="140"/>
      <c r="K84" s="134"/>
    </row>
    <row r="85" spans="2:11" x14ac:dyDescent="0.35">
      <c r="B85" s="140"/>
      <c r="K85" s="134"/>
    </row>
    <row r="86" spans="2:11" x14ac:dyDescent="0.35">
      <c r="B86" s="140"/>
      <c r="K86" s="134"/>
    </row>
    <row r="87" spans="2:11" x14ac:dyDescent="0.35">
      <c r="B87" s="140"/>
      <c r="K87" s="134"/>
    </row>
    <row r="88" spans="2:11" x14ac:dyDescent="0.35">
      <c r="B88" s="140"/>
      <c r="K88" s="134"/>
    </row>
    <row r="89" spans="2:11" x14ac:dyDescent="0.35">
      <c r="B89" s="140"/>
      <c r="K89" s="134"/>
    </row>
    <row r="90" spans="2:11" x14ac:dyDescent="0.35">
      <c r="B90" s="140"/>
      <c r="K90" s="134"/>
    </row>
    <row r="91" spans="2:11" x14ac:dyDescent="0.35">
      <c r="B91" s="141"/>
      <c r="C91" s="116"/>
      <c r="D91" s="116"/>
      <c r="E91" s="116"/>
      <c r="F91" s="116"/>
      <c r="G91" s="116"/>
      <c r="H91" s="116"/>
      <c r="I91" s="116"/>
      <c r="J91" s="116"/>
      <c r="K91" s="136"/>
    </row>
    <row r="92" spans="2:11" ht="16" thickBot="1" x14ac:dyDescent="0.4"/>
    <row r="93" spans="2:11" ht="16" thickBot="1" x14ac:dyDescent="0.4">
      <c r="B93" s="111" t="s">
        <v>51</v>
      </c>
      <c r="C93" s="113"/>
    </row>
    <row r="95" spans="2:11" x14ac:dyDescent="0.35">
      <c r="B95" s="117">
        <v>1</v>
      </c>
      <c r="C95" s="118">
        <v>2</v>
      </c>
      <c r="D95" s="118">
        <v>3</v>
      </c>
      <c r="E95" s="118">
        <v>4</v>
      </c>
      <c r="F95" s="118">
        <v>5</v>
      </c>
      <c r="G95" s="118">
        <v>6</v>
      </c>
      <c r="H95" s="118">
        <v>7</v>
      </c>
      <c r="I95" s="118">
        <v>8</v>
      </c>
      <c r="J95" s="119">
        <v>9</v>
      </c>
    </row>
    <row r="96" spans="2:11" ht="93" x14ac:dyDescent="0.35">
      <c r="B96" s="120" t="s">
        <v>0</v>
      </c>
      <c r="C96" s="142" t="s">
        <v>1</v>
      </c>
      <c r="D96" s="120" t="s">
        <v>15</v>
      </c>
      <c r="E96" s="120" t="s">
        <v>19</v>
      </c>
      <c r="F96" s="120" t="s">
        <v>194</v>
      </c>
      <c r="G96" s="120" t="s">
        <v>18</v>
      </c>
      <c r="H96" s="120" t="s">
        <v>16</v>
      </c>
      <c r="I96" s="120" t="s">
        <v>17</v>
      </c>
      <c r="J96" s="120" t="s">
        <v>256</v>
      </c>
    </row>
    <row r="97" spans="2:11" x14ac:dyDescent="0.35">
      <c r="B97" s="138" t="s">
        <v>29</v>
      </c>
      <c r="C97" s="123"/>
      <c r="D97" s="148">
        <f>IFERROR(C97/C$103,0)</f>
        <v>0</v>
      </c>
      <c r="E97" s="123"/>
      <c r="F97" s="123"/>
      <c r="G97" s="366">
        <f t="shared" ref="G97:G103" si="6">SUM(E97:F97)</f>
        <v>0</v>
      </c>
      <c r="H97" s="124"/>
      <c r="I97" s="124"/>
      <c r="J97" s="148" t="str">
        <f>IF(H97=0,"",I97/H97-1)</f>
        <v/>
      </c>
    </row>
    <row r="98" spans="2:11" x14ac:dyDescent="0.35">
      <c r="B98" s="138" t="s">
        <v>27</v>
      </c>
      <c r="C98" s="123">
        <f>C75</f>
        <v>9</v>
      </c>
      <c r="D98" s="151">
        <f t="shared" ref="D98:D102" si="7">IFERROR(C98/C$103,0)</f>
        <v>1</v>
      </c>
      <c r="E98" s="123">
        <f>E75</f>
        <v>51550</v>
      </c>
      <c r="F98" s="123">
        <v>0</v>
      </c>
      <c r="G98" s="366">
        <f t="shared" si="6"/>
        <v>51550</v>
      </c>
      <c r="H98" s="124">
        <f>H75</f>
        <v>428.17738118331715</v>
      </c>
      <c r="I98" s="124">
        <f>I75</f>
        <v>485.70262793404464</v>
      </c>
      <c r="J98" s="148">
        <f t="shared" ref="J98:J103" si="8">IF(H98=0,"",I98/H98-1)</f>
        <v>0.134349102214951</v>
      </c>
    </row>
    <row r="99" spans="2:11" x14ac:dyDescent="0.35">
      <c r="B99" s="138" t="s">
        <v>28</v>
      </c>
      <c r="C99" s="123"/>
      <c r="D99" s="151">
        <f t="shared" si="7"/>
        <v>0</v>
      </c>
      <c r="E99" s="123"/>
      <c r="F99" s="123"/>
      <c r="G99" s="366">
        <f t="shared" si="6"/>
        <v>0</v>
      </c>
      <c r="H99" s="124"/>
      <c r="I99" s="124"/>
      <c r="J99" s="148" t="str">
        <f t="shared" si="8"/>
        <v/>
      </c>
    </row>
    <row r="100" spans="2:11" x14ac:dyDescent="0.35">
      <c r="B100" s="122" t="s">
        <v>30</v>
      </c>
      <c r="C100" s="126"/>
      <c r="D100" s="151">
        <f t="shared" si="7"/>
        <v>0</v>
      </c>
      <c r="E100" s="126"/>
      <c r="F100" s="126"/>
      <c r="G100" s="366">
        <f t="shared" si="6"/>
        <v>0</v>
      </c>
      <c r="H100" s="127"/>
      <c r="I100" s="127"/>
      <c r="J100" s="148" t="str">
        <f t="shared" si="8"/>
        <v/>
      </c>
    </row>
    <row r="101" spans="2:11" x14ac:dyDescent="0.35">
      <c r="B101" s="122" t="s">
        <v>32</v>
      </c>
      <c r="C101" s="126"/>
      <c r="D101" s="151">
        <f t="shared" si="7"/>
        <v>0</v>
      </c>
      <c r="E101" s="126"/>
      <c r="F101" s="126"/>
      <c r="G101" s="366">
        <f t="shared" si="6"/>
        <v>0</v>
      </c>
      <c r="H101" s="127"/>
      <c r="I101" s="127"/>
      <c r="J101" s="148" t="str">
        <f t="shared" si="8"/>
        <v/>
      </c>
    </row>
    <row r="102" spans="2:11" ht="31" x14ac:dyDescent="0.35">
      <c r="B102" s="122" t="s">
        <v>31</v>
      </c>
      <c r="C102" s="126"/>
      <c r="D102" s="151">
        <f t="shared" si="7"/>
        <v>0</v>
      </c>
      <c r="E102" s="126"/>
      <c r="F102" s="126"/>
      <c r="G102" s="366">
        <f t="shared" si="6"/>
        <v>0</v>
      </c>
      <c r="H102" s="127"/>
      <c r="I102" s="127"/>
      <c r="J102" s="148" t="str">
        <f t="shared" si="8"/>
        <v/>
      </c>
    </row>
    <row r="103" spans="2:11" x14ac:dyDescent="0.35">
      <c r="B103" s="128" t="s">
        <v>14</v>
      </c>
      <c r="C103" s="370">
        <f>SUM(C97:C102)</f>
        <v>9</v>
      </c>
      <c r="D103" s="152">
        <f>SUM(D97:D102)</f>
        <v>1</v>
      </c>
      <c r="E103" s="370">
        <f>SUM(E97:E102)</f>
        <v>51550</v>
      </c>
      <c r="F103" s="370">
        <f>SUM(F97:F102)</f>
        <v>0</v>
      </c>
      <c r="G103" s="370">
        <f t="shared" si="6"/>
        <v>51550</v>
      </c>
      <c r="H103" s="371">
        <f>SUMPRODUCT(H97:H102,$G97:$G102)/$G103</f>
        <v>428.17738118331715</v>
      </c>
      <c r="I103" s="371">
        <f>SUMPRODUCT(I97:I102,$G97:$G102)/$G103</f>
        <v>485.70262793404464</v>
      </c>
      <c r="J103" s="153">
        <f t="shared" si="8"/>
        <v>0.134349102214951</v>
      </c>
    </row>
    <row r="104" spans="2:11" x14ac:dyDescent="0.35">
      <c r="B104" s="143"/>
      <c r="C104" s="144"/>
      <c r="D104" s="145"/>
      <c r="E104" s="144"/>
      <c r="F104" s="144"/>
      <c r="G104" s="144"/>
      <c r="H104" s="146"/>
      <c r="I104" s="146"/>
      <c r="J104" s="147"/>
    </row>
    <row r="105" spans="2:11" x14ac:dyDescent="0.35">
      <c r="B105" s="129" t="s">
        <v>33</v>
      </c>
      <c r="C105" s="144"/>
      <c r="D105" s="145"/>
      <c r="E105" s="144"/>
      <c r="F105" s="144"/>
      <c r="G105" s="144"/>
      <c r="H105" s="146"/>
      <c r="I105" s="146"/>
      <c r="J105" s="147"/>
    </row>
    <row r="106" spans="2:11" x14ac:dyDescent="0.35">
      <c r="B106" s="129" t="s">
        <v>34</v>
      </c>
      <c r="C106" s="144"/>
      <c r="D106" s="145"/>
      <c r="E106" s="144"/>
      <c r="F106" s="144"/>
      <c r="G106" s="144"/>
      <c r="H106" s="146"/>
      <c r="I106" s="146"/>
      <c r="J106" s="147"/>
    </row>
    <row r="107" spans="2:11" x14ac:dyDescent="0.35">
      <c r="B107" s="129" t="s">
        <v>35</v>
      </c>
      <c r="C107" s="144"/>
      <c r="D107" s="145"/>
      <c r="E107" s="144"/>
      <c r="F107" s="144"/>
      <c r="G107" s="144"/>
      <c r="H107" s="146"/>
      <c r="I107" s="146"/>
      <c r="J107" s="147"/>
    </row>
    <row r="108" spans="2:11" x14ac:dyDescent="0.35">
      <c r="B108" s="129" t="s">
        <v>36</v>
      </c>
      <c r="C108" s="144"/>
      <c r="D108" s="145"/>
      <c r="E108" s="144"/>
      <c r="F108" s="144"/>
      <c r="G108" s="144"/>
      <c r="H108" s="146"/>
      <c r="I108" s="146"/>
      <c r="J108" s="147"/>
    </row>
    <row r="109" spans="2:11" x14ac:dyDescent="0.35">
      <c r="B109" s="129" t="s">
        <v>37</v>
      </c>
      <c r="C109" s="144"/>
      <c r="D109" s="145"/>
      <c r="E109" s="144"/>
      <c r="F109" s="144"/>
      <c r="G109" s="144"/>
      <c r="H109" s="146"/>
      <c r="I109" s="146"/>
      <c r="J109" s="147"/>
    </row>
    <row r="111" spans="2:11" x14ac:dyDescent="0.35">
      <c r="B111" s="129" t="s">
        <v>84</v>
      </c>
    </row>
    <row r="112" spans="2:11" x14ac:dyDescent="0.35">
      <c r="B112" s="130"/>
      <c r="C112" s="131"/>
      <c r="D112" s="131"/>
      <c r="E112" s="131"/>
      <c r="F112" s="131"/>
      <c r="G112" s="131"/>
      <c r="H112" s="131"/>
      <c r="I112" s="131"/>
      <c r="J112" s="131"/>
      <c r="K112" s="132"/>
    </row>
    <row r="113" spans="2:11" x14ac:dyDescent="0.35">
      <c r="B113" s="133"/>
      <c r="K113" s="134"/>
    </row>
    <row r="114" spans="2:11" x14ac:dyDescent="0.35">
      <c r="B114" s="133"/>
      <c r="K114" s="134"/>
    </row>
    <row r="115" spans="2:11" x14ac:dyDescent="0.35">
      <c r="B115" s="133"/>
      <c r="K115" s="134"/>
    </row>
    <row r="116" spans="2:11" x14ac:dyDescent="0.35">
      <c r="B116" s="140"/>
      <c r="K116" s="134"/>
    </row>
    <row r="117" spans="2:11" x14ac:dyDescent="0.35">
      <c r="B117" s="140"/>
      <c r="K117" s="134"/>
    </row>
    <row r="118" spans="2:11" x14ac:dyDescent="0.35">
      <c r="B118" s="140"/>
      <c r="K118" s="134"/>
    </row>
    <row r="119" spans="2:11" x14ac:dyDescent="0.35">
      <c r="B119" s="140"/>
      <c r="K119" s="134"/>
    </row>
    <row r="120" spans="2:11" x14ac:dyDescent="0.35">
      <c r="B120" s="140"/>
      <c r="K120" s="134"/>
    </row>
    <row r="121" spans="2:11" x14ac:dyDescent="0.35">
      <c r="B121" s="141"/>
      <c r="C121" s="116"/>
      <c r="D121" s="116"/>
      <c r="E121" s="116"/>
      <c r="F121" s="116"/>
      <c r="G121" s="116"/>
      <c r="H121" s="116"/>
      <c r="I121" s="116"/>
      <c r="J121" s="116"/>
      <c r="K121" s="136"/>
    </row>
  </sheetData>
  <sheetProtection algorithmName="SHA-512" hashValue="3HJflseRHJdzSlvWkIwEW9vlfZZfNJrUHpCbtIOuwHkKeXaEJwBTvxvxZnjRbtQ4eyihVr/RLZDUhcD/vmwzJg==" saltValue="g2GEqaPOjr1Z5baDJt6fFQ=="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78163-68BE-40C4-AD46-6B36DB9459E5}">
  <dimension ref="B1:I110"/>
  <sheetViews>
    <sheetView showGridLines="0" topLeftCell="A26" workbookViewId="0">
      <selection activeCell="F28" sqref="F28"/>
    </sheetView>
  </sheetViews>
  <sheetFormatPr defaultColWidth="8.84375" defaultRowHeight="15.5" x14ac:dyDescent="0.35"/>
  <cols>
    <col min="1" max="1" width="3.07421875" style="105" customWidth="1"/>
    <col min="2" max="2" width="9.84375" style="105" customWidth="1"/>
    <col min="3" max="3" width="15.84375" style="105" customWidth="1"/>
    <col min="4" max="4" width="12.84375" style="105" customWidth="1"/>
    <col min="5" max="6" width="12.07421875" style="105" customWidth="1"/>
    <col min="7" max="7" width="16.07421875" style="105" customWidth="1"/>
    <col min="8" max="8" width="17.84375" style="105" customWidth="1"/>
    <col min="9" max="10" width="8.84375" style="105"/>
    <col min="11" max="11" width="10" style="105" customWidth="1"/>
    <col min="12" max="16384" width="8.84375" style="105"/>
  </cols>
  <sheetData>
    <row r="1" spans="2:9" ht="18" x14ac:dyDescent="0.4">
      <c r="B1" s="104" t="s">
        <v>47</v>
      </c>
    </row>
    <row r="3" spans="2:9" x14ac:dyDescent="0.35">
      <c r="B3" s="171" t="str">
        <f>'Cover-Input Page '!$C7</f>
        <v>Wellfleet Insurance Company</v>
      </c>
      <c r="C3" s="154"/>
      <c r="D3" s="154"/>
    </row>
    <row r="4" spans="2:9" ht="16" thickBot="1" x14ac:dyDescent="0.4">
      <c r="B4" s="172" t="str">
        <f>"Reporting Year: "&amp;'Cover-Input Page '!$C5</f>
        <v>Reporting Year: 2025</v>
      </c>
      <c r="C4" s="154"/>
      <c r="D4" s="154"/>
    </row>
    <row r="5" spans="2:9" ht="16" thickBot="1" x14ac:dyDescent="0.4"/>
    <row r="6" spans="2:9" ht="16" thickBot="1" x14ac:dyDescent="0.4">
      <c r="B6" s="155" t="s">
        <v>52</v>
      </c>
      <c r="C6" s="112"/>
      <c r="D6" s="112"/>
      <c r="E6" s="112"/>
      <c r="F6" s="112"/>
      <c r="G6" s="113"/>
      <c r="I6" s="156"/>
    </row>
    <row r="7" spans="2:9" x14ac:dyDescent="0.35">
      <c r="B7" s="157"/>
    </row>
    <row r="8" spans="2:9" x14ac:dyDescent="0.35">
      <c r="B8" s="157"/>
      <c r="C8" s="105" t="s">
        <v>186</v>
      </c>
    </row>
    <row r="9" spans="2:9" x14ac:dyDescent="0.35">
      <c r="B9" s="157"/>
      <c r="C9" s="105" t="s">
        <v>429</v>
      </c>
    </row>
    <row r="10" spans="2:9" x14ac:dyDescent="0.35">
      <c r="B10" s="157"/>
      <c r="C10" s="158" t="s">
        <v>427</v>
      </c>
    </row>
    <row r="12" spans="2:9" x14ac:dyDescent="0.35">
      <c r="C12" s="159" t="s">
        <v>29</v>
      </c>
    </row>
    <row r="13" spans="2:9" ht="77.5" x14ac:dyDescent="0.35">
      <c r="C13" s="160" t="s">
        <v>85</v>
      </c>
      <c r="D13" s="160" t="s">
        <v>86</v>
      </c>
      <c r="E13" s="160" t="s">
        <v>87</v>
      </c>
      <c r="F13" s="160" t="s">
        <v>461</v>
      </c>
      <c r="G13" s="160" t="s">
        <v>88</v>
      </c>
      <c r="H13" s="160" t="s">
        <v>96</v>
      </c>
    </row>
    <row r="14" spans="2:9" ht="40.4" customHeight="1" x14ac:dyDescent="0.35">
      <c r="C14" s="161" t="s">
        <v>89</v>
      </c>
      <c r="D14" s="162"/>
      <c r="E14" s="162"/>
      <c r="F14" s="349"/>
      <c r="G14" s="173">
        <f>IFERROR(E14/E19,0)</f>
        <v>0</v>
      </c>
      <c r="H14" s="163"/>
    </row>
    <row r="15" spans="2:9" ht="40.4" customHeight="1" x14ac:dyDescent="0.35">
      <c r="C15" s="161" t="s">
        <v>90</v>
      </c>
      <c r="D15" s="162"/>
      <c r="E15" s="162"/>
      <c r="F15" s="349"/>
      <c r="G15" s="173">
        <f>IFERROR(E15/E19,0)</f>
        <v>0</v>
      </c>
      <c r="H15" s="163"/>
    </row>
    <row r="16" spans="2:9" ht="40.4" customHeight="1" x14ac:dyDescent="0.35">
      <c r="C16" s="161" t="s">
        <v>91</v>
      </c>
      <c r="D16" s="162"/>
      <c r="E16" s="162"/>
      <c r="F16" s="349"/>
      <c r="G16" s="173">
        <f>IFERROR(E16/E19,0)</f>
        <v>0</v>
      </c>
      <c r="H16" s="163"/>
    </row>
    <row r="17" spans="3:8" ht="40.4" customHeight="1" x14ac:dyDescent="0.35">
      <c r="C17" s="161" t="s">
        <v>92</v>
      </c>
      <c r="D17" s="162"/>
      <c r="E17" s="162"/>
      <c r="F17" s="349"/>
      <c r="G17" s="173">
        <f>IFERROR(E17/E19,0)</f>
        <v>0</v>
      </c>
      <c r="H17" s="163"/>
    </row>
    <row r="18" spans="3:8" ht="40.4" customHeight="1" x14ac:dyDescent="0.35">
      <c r="C18" s="161" t="s">
        <v>93</v>
      </c>
      <c r="D18" s="162"/>
      <c r="E18" s="162"/>
      <c r="F18" s="349"/>
      <c r="G18" s="173">
        <f>IFERROR(E18/E19,0)</f>
        <v>0</v>
      </c>
      <c r="H18" s="163"/>
    </row>
    <row r="19" spans="3:8" x14ac:dyDescent="0.35">
      <c r="C19" s="164" t="s">
        <v>95</v>
      </c>
      <c r="D19" s="174">
        <f>SUM(D14:D18)</f>
        <v>0</v>
      </c>
      <c r="E19" s="174">
        <f>SUM(E14:E18)</f>
        <v>0</v>
      </c>
      <c r="F19" s="350">
        <f>IF(E19=0,0,SUMPRODUCT(F14:F18,E14:E18)/E19)</f>
        <v>0</v>
      </c>
      <c r="G19" s="173">
        <f>SUM(G14:G18)</f>
        <v>0</v>
      </c>
      <c r="H19" s="342"/>
    </row>
    <row r="21" spans="3:8" x14ac:dyDescent="0.35">
      <c r="C21" s="159" t="s">
        <v>27</v>
      </c>
    </row>
    <row r="22" spans="3:8" ht="77.5" x14ac:dyDescent="0.35">
      <c r="C22" s="160" t="s">
        <v>85</v>
      </c>
      <c r="D22" s="160" t="s">
        <v>86</v>
      </c>
      <c r="E22" s="160" t="s">
        <v>87</v>
      </c>
      <c r="F22" s="160" t="s">
        <v>461</v>
      </c>
      <c r="G22" s="160" t="s">
        <v>88</v>
      </c>
      <c r="H22" s="160" t="s">
        <v>96</v>
      </c>
    </row>
    <row r="23" spans="3:8" ht="40.4" customHeight="1" x14ac:dyDescent="0.35">
      <c r="C23" s="161" t="s">
        <v>89</v>
      </c>
      <c r="D23" s="162">
        <v>1</v>
      </c>
      <c r="E23" s="162">
        <v>35</v>
      </c>
      <c r="F23" s="162">
        <v>93.62</v>
      </c>
      <c r="G23" s="173">
        <f>IFERROR(E23/E28,0)</f>
        <v>6.7895247332686709E-4</v>
      </c>
      <c r="H23" s="163"/>
    </row>
    <row r="24" spans="3:8" ht="40.4" customHeight="1" x14ac:dyDescent="0.35">
      <c r="C24" s="161" t="s">
        <v>90</v>
      </c>
      <c r="D24" s="162">
        <v>8</v>
      </c>
      <c r="E24" s="162">
        <v>51515</v>
      </c>
      <c r="F24" s="162">
        <v>86.61</v>
      </c>
      <c r="G24" s="173">
        <f>IFERROR(E24/E28,0)</f>
        <v>0.99932104752667317</v>
      </c>
      <c r="H24" s="163"/>
    </row>
    <row r="25" spans="3:8" ht="40.4" customHeight="1" x14ac:dyDescent="0.35">
      <c r="C25" s="161" t="s">
        <v>91</v>
      </c>
      <c r="D25" s="162"/>
      <c r="E25" s="162"/>
      <c r="F25" s="162"/>
      <c r="G25" s="173">
        <f>IFERROR(E25/E28,0)</f>
        <v>0</v>
      </c>
      <c r="H25" s="163"/>
    </row>
    <row r="26" spans="3:8" ht="40.4" customHeight="1" x14ac:dyDescent="0.35">
      <c r="C26" s="161" t="s">
        <v>92</v>
      </c>
      <c r="D26" s="162"/>
      <c r="E26" s="162"/>
      <c r="F26" s="162"/>
      <c r="G26" s="173">
        <f>IFERROR(E26/E28,0)</f>
        <v>0</v>
      </c>
      <c r="H26" s="163"/>
    </row>
    <row r="27" spans="3:8" ht="40.4" customHeight="1" x14ac:dyDescent="0.35">
      <c r="C27" s="161" t="s">
        <v>93</v>
      </c>
      <c r="D27" s="162"/>
      <c r="E27" s="162"/>
      <c r="F27" s="162"/>
      <c r="G27" s="173">
        <f>IFERROR(E27/E28,0)</f>
        <v>0</v>
      </c>
      <c r="H27" s="163"/>
    </row>
    <row r="28" spans="3:8" x14ac:dyDescent="0.35">
      <c r="C28" s="164" t="s">
        <v>95</v>
      </c>
      <c r="D28" s="174">
        <f>SUM(D23:D27)</f>
        <v>9</v>
      </c>
      <c r="E28" s="174">
        <f>SUM(E23:E27)</f>
        <v>51550</v>
      </c>
      <c r="F28" s="350">
        <f>IF(E28=0,0,SUMPRODUCT(F23:F27,E23:E27)/E28)</f>
        <v>86.61475945683803</v>
      </c>
      <c r="G28" s="173">
        <f>SUM(G23:G27)</f>
        <v>1</v>
      </c>
      <c r="H28" s="342"/>
    </row>
    <row r="30" spans="3:8" x14ac:dyDescent="0.35">
      <c r="C30" s="159" t="s">
        <v>28</v>
      </c>
    </row>
    <row r="31" spans="3:8" ht="77.5" x14ac:dyDescent="0.35">
      <c r="C31" s="160" t="s">
        <v>85</v>
      </c>
      <c r="D31" s="160" t="s">
        <v>86</v>
      </c>
      <c r="E31" s="160" t="s">
        <v>87</v>
      </c>
      <c r="F31" s="160" t="s">
        <v>461</v>
      </c>
      <c r="G31" s="160" t="s">
        <v>88</v>
      </c>
      <c r="H31" s="160" t="s">
        <v>96</v>
      </c>
    </row>
    <row r="32" spans="3:8" ht="40.4" customHeight="1" x14ac:dyDescent="0.35">
      <c r="C32" s="161" t="s">
        <v>89</v>
      </c>
      <c r="D32" s="162"/>
      <c r="E32" s="162"/>
      <c r="F32" s="162"/>
      <c r="G32" s="173">
        <f>IFERROR(E32/E37,0)</f>
        <v>0</v>
      </c>
      <c r="H32" s="163"/>
    </row>
    <row r="33" spans="3:8" ht="40.4" customHeight="1" x14ac:dyDescent="0.35">
      <c r="C33" s="161" t="s">
        <v>90</v>
      </c>
      <c r="D33" s="162"/>
      <c r="E33" s="162"/>
      <c r="F33" s="162"/>
      <c r="G33" s="173">
        <f>IFERROR(E33/E37,0)</f>
        <v>0</v>
      </c>
      <c r="H33" s="163"/>
    </row>
    <row r="34" spans="3:8" ht="40.4" customHeight="1" x14ac:dyDescent="0.35">
      <c r="C34" s="161" t="s">
        <v>91</v>
      </c>
      <c r="D34" s="162"/>
      <c r="E34" s="162"/>
      <c r="F34" s="162"/>
      <c r="G34" s="173">
        <f>IFERROR(E34/E37,0)</f>
        <v>0</v>
      </c>
      <c r="H34" s="163"/>
    </row>
    <row r="35" spans="3:8" ht="40.4" customHeight="1" x14ac:dyDescent="0.35">
      <c r="C35" s="161" t="s">
        <v>92</v>
      </c>
      <c r="D35" s="162"/>
      <c r="E35" s="162"/>
      <c r="F35" s="162"/>
      <c r="G35" s="173">
        <f>IFERROR(E35/E37,0)</f>
        <v>0</v>
      </c>
      <c r="H35" s="163"/>
    </row>
    <row r="36" spans="3:8" ht="40.4" customHeight="1" x14ac:dyDescent="0.35">
      <c r="C36" s="161" t="s">
        <v>93</v>
      </c>
      <c r="D36" s="162"/>
      <c r="E36" s="162"/>
      <c r="F36" s="162"/>
      <c r="G36" s="173">
        <f>IFERROR(E36/E37,0)</f>
        <v>0</v>
      </c>
      <c r="H36" s="163"/>
    </row>
    <row r="37" spans="3:8" x14ac:dyDescent="0.35">
      <c r="C37" s="164" t="s">
        <v>95</v>
      </c>
      <c r="D37" s="174">
        <f>SUM(D32:D36)</f>
        <v>0</v>
      </c>
      <c r="E37" s="174">
        <f>SUM(E32:E36)</f>
        <v>0</v>
      </c>
      <c r="F37" s="350">
        <f>IF(E37=0,0,SUMPRODUCT(F32:F36,E32:E36)/E37)</f>
        <v>0</v>
      </c>
      <c r="G37" s="173">
        <f>SUM(G32:G36)</f>
        <v>0</v>
      </c>
      <c r="H37" s="342"/>
    </row>
    <row r="39" spans="3:8" x14ac:dyDescent="0.35">
      <c r="C39" s="159" t="s">
        <v>30</v>
      </c>
    </row>
    <row r="40" spans="3:8" ht="77.5" x14ac:dyDescent="0.35">
      <c r="C40" s="160" t="s">
        <v>85</v>
      </c>
      <c r="D40" s="160" t="s">
        <v>86</v>
      </c>
      <c r="E40" s="160" t="s">
        <v>87</v>
      </c>
      <c r="F40" s="160" t="s">
        <v>461</v>
      </c>
      <c r="G40" s="160" t="s">
        <v>88</v>
      </c>
      <c r="H40" s="160" t="s">
        <v>96</v>
      </c>
    </row>
    <row r="41" spans="3:8" ht="40.4" customHeight="1" x14ac:dyDescent="0.35">
      <c r="C41" s="161" t="s">
        <v>89</v>
      </c>
      <c r="D41" s="162"/>
      <c r="E41" s="162"/>
      <c r="F41" s="162"/>
      <c r="G41" s="173">
        <f>IFERROR(E41/E46,0)</f>
        <v>0</v>
      </c>
      <c r="H41" s="163"/>
    </row>
    <row r="42" spans="3:8" ht="40.4" customHeight="1" x14ac:dyDescent="0.35">
      <c r="C42" s="161" t="s">
        <v>90</v>
      </c>
      <c r="D42" s="162"/>
      <c r="E42" s="162"/>
      <c r="F42" s="162"/>
      <c r="G42" s="173">
        <f>IFERROR(E42/E46,0)</f>
        <v>0</v>
      </c>
      <c r="H42" s="163"/>
    </row>
    <row r="43" spans="3:8" ht="40.4" customHeight="1" x14ac:dyDescent="0.35">
      <c r="C43" s="161" t="s">
        <v>91</v>
      </c>
      <c r="D43" s="162"/>
      <c r="E43" s="162"/>
      <c r="F43" s="162"/>
      <c r="G43" s="173">
        <f>IFERROR(E43/E46,0)</f>
        <v>0</v>
      </c>
      <c r="H43" s="163"/>
    </row>
    <row r="44" spans="3:8" ht="40.4" customHeight="1" x14ac:dyDescent="0.35">
      <c r="C44" s="161" t="s">
        <v>92</v>
      </c>
      <c r="D44" s="162"/>
      <c r="E44" s="162"/>
      <c r="F44" s="162"/>
      <c r="G44" s="173">
        <f>IFERROR(E44/E46,0)</f>
        <v>0</v>
      </c>
      <c r="H44" s="163"/>
    </row>
    <row r="45" spans="3:8" ht="40.4" customHeight="1" x14ac:dyDescent="0.35">
      <c r="C45" s="161" t="s">
        <v>93</v>
      </c>
      <c r="D45" s="162"/>
      <c r="E45" s="162"/>
      <c r="F45" s="162"/>
      <c r="G45" s="173">
        <f>IFERROR(E45/E46,0)</f>
        <v>0</v>
      </c>
      <c r="H45" s="163"/>
    </row>
    <row r="46" spans="3:8" x14ac:dyDescent="0.35">
      <c r="C46" s="164" t="s">
        <v>95</v>
      </c>
      <c r="D46" s="174">
        <f>SUM(D41:D45)</f>
        <v>0</v>
      </c>
      <c r="E46" s="174">
        <f>SUM(E41:E45)</f>
        <v>0</v>
      </c>
      <c r="F46" s="350">
        <f>IF(E46=0,0,SUMPRODUCT(F41:F45,E41:E45)/E46)</f>
        <v>0</v>
      </c>
      <c r="G46" s="173">
        <f>SUM(G41:G45)</f>
        <v>0</v>
      </c>
      <c r="H46" s="342"/>
    </row>
    <row r="48" spans="3:8" x14ac:dyDescent="0.35">
      <c r="C48" s="159" t="s">
        <v>32</v>
      </c>
    </row>
    <row r="49" spans="3:8" ht="77.5" x14ac:dyDescent="0.35">
      <c r="C49" s="160" t="s">
        <v>85</v>
      </c>
      <c r="D49" s="160" t="s">
        <v>86</v>
      </c>
      <c r="E49" s="160" t="s">
        <v>87</v>
      </c>
      <c r="F49" s="160" t="s">
        <v>461</v>
      </c>
      <c r="G49" s="160" t="s">
        <v>88</v>
      </c>
      <c r="H49" s="160" t="s">
        <v>96</v>
      </c>
    </row>
    <row r="50" spans="3:8" ht="40.4" customHeight="1" x14ac:dyDescent="0.35">
      <c r="C50" s="161" t="s">
        <v>89</v>
      </c>
      <c r="D50" s="162"/>
      <c r="E50" s="162"/>
      <c r="F50" s="162"/>
      <c r="G50" s="173">
        <f>IFERROR(E50/E55,0)</f>
        <v>0</v>
      </c>
      <c r="H50" s="163"/>
    </row>
    <row r="51" spans="3:8" ht="40.4" customHeight="1" x14ac:dyDescent="0.35">
      <c r="C51" s="161" t="s">
        <v>90</v>
      </c>
      <c r="D51" s="162"/>
      <c r="E51" s="162"/>
      <c r="F51" s="162"/>
      <c r="G51" s="173">
        <f>IFERROR(E51/E55,0)</f>
        <v>0</v>
      </c>
      <c r="H51" s="163"/>
    </row>
    <row r="52" spans="3:8" ht="40.4" customHeight="1" x14ac:dyDescent="0.35">
      <c r="C52" s="161" t="s">
        <v>91</v>
      </c>
      <c r="D52" s="162"/>
      <c r="E52" s="162"/>
      <c r="F52" s="162"/>
      <c r="G52" s="173">
        <f>IFERROR(E52/E55,0)</f>
        <v>0</v>
      </c>
      <c r="H52" s="163"/>
    </row>
    <row r="53" spans="3:8" ht="40.4" customHeight="1" x14ac:dyDescent="0.35">
      <c r="C53" s="161" t="s">
        <v>92</v>
      </c>
      <c r="D53" s="162"/>
      <c r="E53" s="162"/>
      <c r="F53" s="162"/>
      <c r="G53" s="173">
        <f>IFERROR(E53/E55,0)</f>
        <v>0</v>
      </c>
      <c r="H53" s="163"/>
    </row>
    <row r="54" spans="3:8" ht="40.4" customHeight="1" x14ac:dyDescent="0.35">
      <c r="C54" s="161" t="s">
        <v>93</v>
      </c>
      <c r="D54" s="162"/>
      <c r="E54" s="162"/>
      <c r="F54" s="162"/>
      <c r="G54" s="173">
        <f>IFERROR(E54/E55,0)</f>
        <v>0</v>
      </c>
      <c r="H54" s="163"/>
    </row>
    <row r="55" spans="3:8" x14ac:dyDescent="0.35">
      <c r="C55" s="164" t="s">
        <v>95</v>
      </c>
      <c r="D55" s="174">
        <f>SUM(D50:D54)</f>
        <v>0</v>
      </c>
      <c r="E55" s="174">
        <f>SUM(E50:E54)</f>
        <v>0</v>
      </c>
      <c r="F55" s="350">
        <f>IF(E55=0,0,SUMPRODUCT(F50:F54,E50:E54)/E55)</f>
        <v>0</v>
      </c>
      <c r="G55" s="173">
        <f>SUM(G50:G54)</f>
        <v>0</v>
      </c>
      <c r="H55" s="342"/>
    </row>
    <row r="57" spans="3:8" x14ac:dyDescent="0.35">
      <c r="C57" s="159" t="s">
        <v>94</v>
      </c>
    </row>
    <row r="58" spans="3:8" ht="77.5" x14ac:dyDescent="0.35">
      <c r="C58" s="160" t="s">
        <v>85</v>
      </c>
      <c r="D58" s="160" t="s">
        <v>86</v>
      </c>
      <c r="E58" s="160" t="s">
        <v>87</v>
      </c>
      <c r="F58" s="160" t="s">
        <v>461</v>
      </c>
      <c r="G58" s="160" t="s">
        <v>88</v>
      </c>
      <c r="H58" s="160" t="s">
        <v>96</v>
      </c>
    </row>
    <row r="59" spans="3:8" ht="40.4" customHeight="1" x14ac:dyDescent="0.35">
      <c r="C59" s="161" t="s">
        <v>89</v>
      </c>
      <c r="D59" s="162"/>
      <c r="E59" s="162"/>
      <c r="F59" s="162"/>
      <c r="G59" s="173">
        <f>IFERROR(E59/E64,0)</f>
        <v>0</v>
      </c>
      <c r="H59" s="163"/>
    </row>
    <row r="60" spans="3:8" ht="40.4" customHeight="1" x14ac:dyDescent="0.35">
      <c r="C60" s="161" t="s">
        <v>90</v>
      </c>
      <c r="D60" s="162"/>
      <c r="E60" s="162"/>
      <c r="F60" s="162"/>
      <c r="G60" s="173">
        <f>IFERROR(E60/E64,0)</f>
        <v>0</v>
      </c>
      <c r="H60" s="163"/>
    </row>
    <row r="61" spans="3:8" ht="40.4" customHeight="1" x14ac:dyDescent="0.35">
      <c r="C61" s="161" t="s">
        <v>91</v>
      </c>
      <c r="D61" s="162"/>
      <c r="E61" s="162"/>
      <c r="F61" s="162"/>
      <c r="G61" s="173">
        <f>IFERROR(E61/E64,0)</f>
        <v>0</v>
      </c>
      <c r="H61" s="163"/>
    </row>
    <row r="62" spans="3:8" ht="40.4" customHeight="1" x14ac:dyDescent="0.35">
      <c r="C62" s="161" t="s">
        <v>92</v>
      </c>
      <c r="D62" s="162"/>
      <c r="E62" s="162"/>
      <c r="F62" s="162"/>
      <c r="G62" s="173">
        <f>IFERROR(E62/E64,0)</f>
        <v>0</v>
      </c>
      <c r="H62" s="163"/>
    </row>
    <row r="63" spans="3:8" ht="40.4" customHeight="1" x14ac:dyDescent="0.35">
      <c r="C63" s="161" t="s">
        <v>93</v>
      </c>
      <c r="D63" s="162"/>
      <c r="E63" s="162"/>
      <c r="F63" s="162"/>
      <c r="G63" s="173">
        <f>IFERROR(E63/E64,0)</f>
        <v>0</v>
      </c>
      <c r="H63" s="163"/>
    </row>
    <row r="64" spans="3:8" x14ac:dyDescent="0.35">
      <c r="C64" s="164" t="s">
        <v>95</v>
      </c>
      <c r="D64" s="174">
        <f>SUM(D59:D63)</f>
        <v>0</v>
      </c>
      <c r="E64" s="174">
        <f>SUM(E59:E63)</f>
        <v>0</v>
      </c>
      <c r="F64" s="350">
        <f>IF(E64=0,0,SUMPRODUCT(F59:F63,E59:E63)/E64)</f>
        <v>0</v>
      </c>
      <c r="G64" s="173">
        <f>SUM(G59:G63)</f>
        <v>0</v>
      </c>
      <c r="H64" s="342"/>
    </row>
    <row r="65" spans="3:8" x14ac:dyDescent="0.35">
      <c r="C65" s="154" t="s">
        <v>462</v>
      </c>
      <c r="D65" s="174">
        <f>D19+D28+D37+D46+D55+D64</f>
        <v>9</v>
      </c>
      <c r="E65" s="174">
        <f>E19+E28+E37+E46+E55+E64</f>
        <v>51550</v>
      </c>
      <c r="F65" s="350">
        <f>(E19*F19+E28*F28+E37*F37+E46*F46+E55*F55+E64*F64)/E65</f>
        <v>86.61475945683803</v>
      </c>
      <c r="G65" s="348"/>
      <c r="H65" s="347"/>
    </row>
    <row r="67" spans="3:8" x14ac:dyDescent="0.35">
      <c r="C67" s="105" t="s">
        <v>97</v>
      </c>
    </row>
    <row r="69" spans="3:8" x14ac:dyDescent="0.35">
      <c r="C69" s="105" t="s">
        <v>98</v>
      </c>
    </row>
    <row r="70" spans="3:8" x14ac:dyDescent="0.35">
      <c r="C70" s="105" t="s">
        <v>147</v>
      </c>
    </row>
    <row r="71" spans="3:8" x14ac:dyDescent="0.35">
      <c r="C71" s="105" t="s">
        <v>99</v>
      </c>
    </row>
    <row r="73" spans="3:8" ht="16" thickBot="1" x14ac:dyDescent="0.4">
      <c r="C73" s="105" t="s">
        <v>100</v>
      </c>
    </row>
    <row r="74" spans="3:8" x14ac:dyDescent="0.35">
      <c r="C74" s="165"/>
      <c r="D74" s="107"/>
      <c r="E74" s="107"/>
      <c r="F74" s="107"/>
      <c r="G74" s="107"/>
      <c r="H74" s="108"/>
    </row>
    <row r="75" spans="3:8" x14ac:dyDescent="0.35">
      <c r="C75" s="166"/>
      <c r="H75" s="167"/>
    </row>
    <row r="76" spans="3:8" x14ac:dyDescent="0.35">
      <c r="C76" s="166"/>
      <c r="H76" s="167"/>
    </row>
    <row r="77" spans="3:8" x14ac:dyDescent="0.35">
      <c r="C77" s="166"/>
      <c r="H77" s="167"/>
    </row>
    <row r="78" spans="3:8" x14ac:dyDescent="0.35">
      <c r="C78" s="166"/>
      <c r="H78" s="167"/>
    </row>
    <row r="79" spans="3:8" x14ac:dyDescent="0.35">
      <c r="C79" s="166"/>
      <c r="H79" s="167"/>
    </row>
    <row r="80" spans="3:8" x14ac:dyDescent="0.35">
      <c r="C80" s="166"/>
      <c r="H80" s="167"/>
    </row>
    <row r="81" spans="3:8" x14ac:dyDescent="0.35">
      <c r="C81" s="166"/>
      <c r="H81" s="167"/>
    </row>
    <row r="82" spans="3:8" x14ac:dyDescent="0.35">
      <c r="C82" s="166"/>
      <c r="H82" s="167"/>
    </row>
    <row r="83" spans="3:8" x14ac:dyDescent="0.35">
      <c r="C83" s="166"/>
      <c r="H83" s="167"/>
    </row>
    <row r="84" spans="3:8" x14ac:dyDescent="0.35">
      <c r="C84" s="166"/>
      <c r="H84" s="167"/>
    </row>
    <row r="85" spans="3:8" x14ac:dyDescent="0.35">
      <c r="C85" s="166"/>
      <c r="H85" s="167"/>
    </row>
    <row r="86" spans="3:8" x14ac:dyDescent="0.35">
      <c r="C86" s="166"/>
      <c r="H86" s="167"/>
    </row>
    <row r="87" spans="3:8" x14ac:dyDescent="0.35">
      <c r="C87" s="166"/>
      <c r="H87" s="167"/>
    </row>
    <row r="88" spans="3:8" x14ac:dyDescent="0.35">
      <c r="C88" s="166"/>
      <c r="H88" s="167"/>
    </row>
    <row r="89" spans="3:8" x14ac:dyDescent="0.35">
      <c r="C89" s="166"/>
      <c r="H89" s="167"/>
    </row>
    <row r="90" spans="3:8" x14ac:dyDescent="0.35">
      <c r="C90" s="166"/>
      <c r="H90" s="167"/>
    </row>
    <row r="91" spans="3:8" x14ac:dyDescent="0.35">
      <c r="C91" s="166"/>
      <c r="H91" s="167"/>
    </row>
    <row r="92" spans="3:8" x14ac:dyDescent="0.35">
      <c r="C92" s="166"/>
      <c r="H92" s="167"/>
    </row>
    <row r="93" spans="3:8" x14ac:dyDescent="0.35">
      <c r="C93" s="166"/>
      <c r="H93" s="167"/>
    </row>
    <row r="94" spans="3:8" x14ac:dyDescent="0.35">
      <c r="C94" s="166"/>
      <c r="H94" s="167"/>
    </row>
    <row r="95" spans="3:8" x14ac:dyDescent="0.35">
      <c r="C95" s="166"/>
      <c r="H95" s="167"/>
    </row>
    <row r="96" spans="3:8" x14ac:dyDescent="0.35">
      <c r="C96" s="166"/>
      <c r="H96" s="167"/>
    </row>
    <row r="97" spans="3:8" x14ac:dyDescent="0.35">
      <c r="C97" s="166"/>
      <c r="H97" s="167"/>
    </row>
    <row r="98" spans="3:8" x14ac:dyDescent="0.35">
      <c r="C98" s="166"/>
      <c r="H98" s="167"/>
    </row>
    <row r="99" spans="3:8" x14ac:dyDescent="0.35">
      <c r="C99" s="166"/>
      <c r="H99" s="167"/>
    </row>
    <row r="100" spans="3:8" x14ac:dyDescent="0.35">
      <c r="C100" s="166"/>
      <c r="H100" s="167"/>
    </row>
    <row r="101" spans="3:8" x14ac:dyDescent="0.35">
      <c r="C101" s="166"/>
      <c r="H101" s="167"/>
    </row>
    <row r="102" spans="3:8" x14ac:dyDescent="0.35">
      <c r="C102" s="166"/>
      <c r="H102" s="167"/>
    </row>
    <row r="103" spans="3:8" x14ac:dyDescent="0.35">
      <c r="C103" s="166"/>
      <c r="H103" s="167"/>
    </row>
    <row r="104" spans="3:8" x14ac:dyDescent="0.35">
      <c r="C104" s="166"/>
      <c r="H104" s="167"/>
    </row>
    <row r="105" spans="3:8" x14ac:dyDescent="0.35">
      <c r="C105" s="166"/>
      <c r="H105" s="167"/>
    </row>
    <row r="106" spans="3:8" x14ac:dyDescent="0.35">
      <c r="C106" s="166"/>
      <c r="H106" s="167"/>
    </row>
    <row r="107" spans="3:8" x14ac:dyDescent="0.35">
      <c r="C107" s="166"/>
      <c r="D107"/>
      <c r="H107" s="167"/>
    </row>
    <row r="108" spans="3:8" x14ac:dyDescent="0.35">
      <c r="C108" s="166"/>
      <c r="H108" s="167"/>
    </row>
    <row r="109" spans="3:8" x14ac:dyDescent="0.35">
      <c r="C109" s="166"/>
      <c r="H109" s="167"/>
    </row>
    <row r="110" spans="3:8" ht="16" thickBot="1" x14ac:dyDescent="0.4">
      <c r="C110" s="168"/>
      <c r="D110" s="169"/>
      <c r="E110" s="169"/>
      <c r="F110" s="169"/>
      <c r="G110" s="169"/>
      <c r="H110" s="170"/>
    </row>
  </sheetData>
  <sheetProtection algorithmName="SHA-512" hashValue="wLfL/5SZV5r7p5gSYtey9Dw9g/8jUfA0eZYxLyn8KNLWs2qtUnUFKolQUJmJLg0d3+luxRe57BZ/TKuJIubDvw==" saltValue="WZ6iKms5Fidd8p4wMQVl9A==" spinCount="100000" sheet="1" objects="1" scenarios="1"/>
  <hyperlinks>
    <hyperlink ref="C10" location="'LGARD-#18-AdditionalInfo'!A1" display="LGARD-#18-AdditionalInfo" xr:uid="{F6714954-2D31-45FD-9F75-95F8631F9A5E}"/>
  </hyperlinks>
  <printOptions horizontalCentered="1"/>
  <pageMargins left="0.7" right="0.7" top="0.75" bottom="0.75" header="0.3" footer="0.3"/>
  <pageSetup scale="65" orientation="landscape" r:id="rId1"/>
  <headerFooter>
    <oddFooter>&amp;L&amp;A
Version Date: June 2, 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73F74-92D9-4228-B999-E85DB7FF05EC}">
  <dimension ref="B1:D21"/>
  <sheetViews>
    <sheetView showGridLines="0" topLeftCell="A11" workbookViewId="0">
      <selection activeCell="C9" sqref="C9"/>
    </sheetView>
  </sheetViews>
  <sheetFormatPr defaultColWidth="8.84375" defaultRowHeight="15.5" x14ac:dyDescent="0.35"/>
  <cols>
    <col min="1" max="1" width="3.07421875" style="105" customWidth="1"/>
    <col min="2" max="2" width="9.84375" style="105" customWidth="1"/>
    <col min="3" max="3" width="31" style="105" customWidth="1"/>
    <col min="4" max="4" width="85.07421875" style="105" customWidth="1"/>
    <col min="5" max="6" width="8.84375" style="105"/>
    <col min="7" max="7" width="10" style="105" customWidth="1"/>
    <col min="8" max="16384" width="8.84375" style="105"/>
  </cols>
  <sheetData>
    <row r="1" spans="2:4" ht="18" x14ac:dyDescent="0.4">
      <c r="B1" s="104" t="s">
        <v>47</v>
      </c>
    </row>
    <row r="3" spans="2:4" x14ac:dyDescent="0.35">
      <c r="B3" s="171" t="str">
        <f>'Cover-Input Page '!$C7</f>
        <v>Wellfleet Insurance Company</v>
      </c>
      <c r="C3" s="154"/>
    </row>
    <row r="4" spans="2:4" x14ac:dyDescent="0.35">
      <c r="B4" s="177" t="str">
        <f>"Reporting Year: "&amp;'Cover-Input Page '!$C5</f>
        <v>Reporting Year: 2025</v>
      </c>
      <c r="C4" s="154"/>
    </row>
    <row r="5" spans="2:4" ht="16" thickBot="1" x14ac:dyDescent="0.4"/>
    <row r="6" spans="2:4" ht="16" thickBot="1" x14ac:dyDescent="0.4">
      <c r="B6" s="111" t="s">
        <v>53</v>
      </c>
      <c r="C6" s="113"/>
    </row>
    <row r="8" spans="2:4" x14ac:dyDescent="0.35">
      <c r="C8" s="105" t="s">
        <v>105</v>
      </c>
    </row>
    <row r="10" spans="2:4" x14ac:dyDescent="0.35">
      <c r="C10" s="175" t="s">
        <v>106</v>
      </c>
      <c r="D10" s="175" t="s">
        <v>107</v>
      </c>
    </row>
    <row r="11" spans="2:4" ht="85.4" customHeight="1" x14ac:dyDescent="0.35">
      <c r="C11" s="176" t="s">
        <v>108</v>
      </c>
      <c r="D11" s="176" t="s">
        <v>1884</v>
      </c>
    </row>
    <row r="12" spans="2:4" ht="85.4" customHeight="1" x14ac:dyDescent="0.35">
      <c r="C12" s="176" t="s">
        <v>109</v>
      </c>
      <c r="D12" s="176" t="s">
        <v>1885</v>
      </c>
    </row>
    <row r="13" spans="2:4" ht="85.4" customHeight="1" x14ac:dyDescent="0.35">
      <c r="C13" s="176" t="s">
        <v>110</v>
      </c>
      <c r="D13" s="176" t="s">
        <v>1885</v>
      </c>
    </row>
    <row r="14" spans="2:4" ht="85.4" customHeight="1" x14ac:dyDescent="0.35">
      <c r="C14" s="176" t="s">
        <v>111</v>
      </c>
      <c r="D14" s="176" t="s">
        <v>1885</v>
      </c>
    </row>
    <row r="15" spans="2:4" ht="85.4" customHeight="1" x14ac:dyDescent="0.35">
      <c r="C15" s="176" t="s">
        <v>112</v>
      </c>
      <c r="D15" s="176" t="s">
        <v>1886</v>
      </c>
    </row>
    <row r="16" spans="2:4" ht="62" x14ac:dyDescent="0.35">
      <c r="C16" s="176" t="s">
        <v>255</v>
      </c>
      <c r="D16" s="176" t="s">
        <v>1885</v>
      </c>
    </row>
    <row r="17" spans="3:4" ht="85.4" customHeight="1" x14ac:dyDescent="0.35">
      <c r="C17" s="176" t="s">
        <v>113</v>
      </c>
      <c r="D17" s="176" t="s">
        <v>1885</v>
      </c>
    </row>
    <row r="18" spans="3:4" ht="85.4" customHeight="1" x14ac:dyDescent="0.35">
      <c r="C18" s="176" t="s">
        <v>114</v>
      </c>
      <c r="D18" s="176" t="s">
        <v>1887</v>
      </c>
    </row>
    <row r="19" spans="3:4" ht="85.4" customHeight="1" x14ac:dyDescent="0.35">
      <c r="C19" s="176" t="s">
        <v>115</v>
      </c>
      <c r="D19" s="176" t="s">
        <v>1885</v>
      </c>
    </row>
    <row r="20" spans="3:4" ht="77.5" x14ac:dyDescent="0.35">
      <c r="C20" s="176" t="s">
        <v>453</v>
      </c>
      <c r="D20" s="176" t="s">
        <v>1888</v>
      </c>
    </row>
    <row r="21" spans="3:4" ht="85.4" customHeight="1" x14ac:dyDescent="0.35">
      <c r="C21" s="176" t="s">
        <v>116</v>
      </c>
      <c r="D21" s="176" t="s">
        <v>1885</v>
      </c>
    </row>
  </sheetData>
  <sheetProtection algorithmName="SHA-512" hashValue="NPadmwrpi7hahnLFMcn9Yia8N+C1eT3jKo9iNX3WSH/s1fYBXhcAfOO7IsEXW/IKZI2sBTmU0t9bF0VwkdVbWw==" saltValue="M/LDf3gCs4m5ZS2/Dtktsw=="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D795-5FE0-4234-8C82-9B161A097D6F}">
  <dimension ref="B1:I77"/>
  <sheetViews>
    <sheetView showGridLines="0" topLeftCell="A43" workbookViewId="0">
      <selection activeCell="D22" sqref="D22"/>
    </sheetView>
  </sheetViews>
  <sheetFormatPr defaultColWidth="8.84375" defaultRowHeight="15.5" x14ac:dyDescent="0.35"/>
  <cols>
    <col min="1" max="1" width="3.07421875" style="105" customWidth="1"/>
    <col min="2" max="2" width="9.84375" style="105" customWidth="1"/>
    <col min="3" max="3" width="37.84375" style="105" customWidth="1"/>
    <col min="4" max="4" width="12.4609375" style="105" customWidth="1"/>
    <col min="5" max="5" width="11.84375" style="105" customWidth="1"/>
    <col min="6" max="6" width="12" style="105" customWidth="1"/>
    <col min="7" max="8" width="9.84375" style="105" customWidth="1"/>
    <col min="9" max="9" width="10.07421875" style="105" customWidth="1"/>
    <col min="10" max="16384" width="8.84375" style="105"/>
  </cols>
  <sheetData>
    <row r="1" spans="2:6" ht="18" x14ac:dyDescent="0.4">
      <c r="B1" s="104" t="s">
        <v>47</v>
      </c>
    </row>
    <row r="3" spans="2:6" x14ac:dyDescent="0.35">
      <c r="B3" s="171" t="str">
        <f>'Cover-Input Page '!$C7</f>
        <v>Wellfleet Insurance Company</v>
      </c>
      <c r="C3" s="154"/>
    </row>
    <row r="4" spans="2:6" x14ac:dyDescent="0.35">
      <c r="B4" s="177" t="str">
        <f>"Reporting Year: "&amp;'Cover-Input Page '!$C5</f>
        <v>Reporting Year: 2025</v>
      </c>
      <c r="C4" s="154"/>
    </row>
    <row r="5" spans="2:6" ht="16" thickBot="1" x14ac:dyDescent="0.4"/>
    <row r="6" spans="2:6" ht="18.5" thickBot="1" x14ac:dyDescent="0.4">
      <c r="B6" s="111" t="s">
        <v>402</v>
      </c>
      <c r="C6" s="113"/>
    </row>
    <row r="8" spans="2:6" x14ac:dyDescent="0.35">
      <c r="C8" s="178" t="s">
        <v>400</v>
      </c>
      <c r="D8" s="179"/>
      <c r="E8" s="179"/>
    </row>
    <row r="9" spans="2:6" x14ac:dyDescent="0.35">
      <c r="C9" s="186" t="str">
        <f>CONCATENATE("Allowed Trend: "&amp;'Cover-Input Page '!C5&amp;" / "&amp;'Cover-Input Page '!C5-1)</f>
        <v>Allowed Trend: 2025 / 2024</v>
      </c>
      <c r="D9" s="179"/>
      <c r="E9" s="179"/>
    </row>
    <row r="11" spans="2:6" ht="65.150000000000006" customHeight="1" x14ac:dyDescent="0.35">
      <c r="C11" s="161" t="s">
        <v>38</v>
      </c>
      <c r="D11" s="187" t="str">
        <f>CONCATENATE('Cover-Input Page '!C5-1 &amp;"  Aggregate Dollars (PMPM)")</f>
        <v>2024  Aggregate Dollars (PMPM)</v>
      </c>
      <c r="E11" s="187" t="str">
        <f>CONCATENATE('Cover-Input Page '!C5 &amp;"  Aggregate Dollars (PMPM)")</f>
        <v>2025  Aggregate Dollars (PMPM)</v>
      </c>
      <c r="F11" s="187" t="str">
        <f>CONCATENATE("Overall "&amp;'Cover-Input Page '!C5&amp;" Trend")</f>
        <v>Overall 2025 Trend</v>
      </c>
    </row>
    <row r="12" spans="2:6" ht="18.5" x14ac:dyDescent="0.35">
      <c r="C12" s="161" t="s">
        <v>117</v>
      </c>
      <c r="D12" s="180">
        <v>37.110204088863689</v>
      </c>
      <c r="E12" s="188">
        <f>D12*(1+F12)</f>
        <v>39.74502857917301</v>
      </c>
      <c r="F12" s="181">
        <v>7.0999999999999994E-2</v>
      </c>
    </row>
    <row r="13" spans="2:6" x14ac:dyDescent="0.35">
      <c r="C13" s="161" t="s">
        <v>437</v>
      </c>
      <c r="D13" s="180">
        <v>74.636419173487369</v>
      </c>
      <c r="E13" s="188">
        <f t="shared" ref="E13:E22" si="0">D13*(1+F13)</f>
        <v>79.935604934804971</v>
      </c>
      <c r="F13" s="181">
        <v>7.0999999999999994E-2</v>
      </c>
    </row>
    <row r="14" spans="2:6" ht="18.5" x14ac:dyDescent="0.35">
      <c r="C14" s="161" t="s">
        <v>118</v>
      </c>
      <c r="D14" s="180">
        <v>92.699070173262953</v>
      </c>
      <c r="E14" s="188">
        <f t="shared" si="0"/>
        <v>99.280704155564621</v>
      </c>
      <c r="F14" s="181">
        <v>7.0999999999999994E-2</v>
      </c>
    </row>
    <row r="15" spans="2:6" ht="18.5" x14ac:dyDescent="0.35">
      <c r="C15" s="161" t="s">
        <v>120</v>
      </c>
      <c r="D15" s="180">
        <v>1.804010689862878</v>
      </c>
      <c r="E15" s="188">
        <f t="shared" si="0"/>
        <v>1.9320954488431423</v>
      </c>
      <c r="F15" s="181">
        <v>7.0999999999999994E-2</v>
      </c>
    </row>
    <row r="16" spans="2:6" x14ac:dyDescent="0.35">
      <c r="C16" s="161" t="s">
        <v>390</v>
      </c>
      <c r="D16" s="180">
        <v>13.229411725661103</v>
      </c>
      <c r="E16" s="188">
        <f t="shared" si="0"/>
        <v>14.168699958183041</v>
      </c>
      <c r="F16" s="181">
        <v>7.0999999999999994E-2</v>
      </c>
    </row>
    <row r="17" spans="2:9" x14ac:dyDescent="0.35">
      <c r="C17" s="161" t="s">
        <v>41</v>
      </c>
      <c r="D17" s="180">
        <v>0</v>
      </c>
      <c r="E17" s="188">
        <f t="shared" si="0"/>
        <v>0</v>
      </c>
      <c r="F17" s="181">
        <v>0</v>
      </c>
    </row>
    <row r="18" spans="2:9" x14ac:dyDescent="0.35">
      <c r="C18" s="161" t="s">
        <v>42</v>
      </c>
      <c r="D18" s="180">
        <v>0</v>
      </c>
      <c r="E18" s="188">
        <f t="shared" si="0"/>
        <v>0</v>
      </c>
      <c r="F18" s="181">
        <v>0</v>
      </c>
    </row>
    <row r="19" spans="2:9" x14ac:dyDescent="0.35">
      <c r="C19" s="161" t="s">
        <v>43</v>
      </c>
      <c r="D19" s="180">
        <v>0</v>
      </c>
      <c r="E19" s="188">
        <f t="shared" si="0"/>
        <v>0</v>
      </c>
      <c r="F19" s="181">
        <v>0</v>
      </c>
    </row>
    <row r="20" spans="2:9" x14ac:dyDescent="0.35">
      <c r="C20" s="182" t="s">
        <v>458</v>
      </c>
      <c r="D20" s="180">
        <v>0</v>
      </c>
      <c r="E20" s="188">
        <f t="shared" si="0"/>
        <v>0</v>
      </c>
      <c r="F20" s="181">
        <v>0</v>
      </c>
    </row>
    <row r="21" spans="2:9" x14ac:dyDescent="0.35">
      <c r="C21" s="182" t="s">
        <v>398</v>
      </c>
      <c r="D21" s="188">
        <f>SUM(D12:D20)</f>
        <v>219.47911585113798</v>
      </c>
      <c r="E21" s="188">
        <f>SUM(E12:E20)</f>
        <v>235.06213307656878</v>
      </c>
      <c r="F21" s="173">
        <f>SUMPRODUCT(D12:D20,F12:F20)/D21</f>
        <v>7.1000000000000008E-2</v>
      </c>
    </row>
    <row r="22" spans="2:9" ht="18.5" x14ac:dyDescent="0.35">
      <c r="C22" s="161" t="s">
        <v>119</v>
      </c>
      <c r="D22" s="180">
        <v>103.99354120162045</v>
      </c>
      <c r="E22" s="188">
        <f t="shared" si="0"/>
        <v>116.68075322821812</v>
      </c>
      <c r="F22" s="181">
        <v>0.122</v>
      </c>
    </row>
    <row r="23" spans="2:9" x14ac:dyDescent="0.35">
      <c r="C23" s="161" t="s">
        <v>399</v>
      </c>
      <c r="D23" s="188">
        <f>SUM(D21:D22)</f>
        <v>323.47265705275845</v>
      </c>
      <c r="E23" s="188">
        <f>SUM(E21:E22)</f>
        <v>351.74288630478691</v>
      </c>
      <c r="F23" s="149">
        <f>SUMPRODUCT(F21:F22,D21:D22)/D23</f>
        <v>8.7396039929945643E-2</v>
      </c>
    </row>
    <row r="24" spans="2:9" x14ac:dyDescent="0.35">
      <c r="B24" s="116"/>
      <c r="C24" s="116"/>
      <c r="D24" s="116"/>
      <c r="E24" s="116"/>
      <c r="F24" s="116"/>
      <c r="G24" s="116"/>
      <c r="H24" s="116"/>
      <c r="I24" s="116"/>
    </row>
    <row r="25" spans="2:9" ht="18.5" x14ac:dyDescent="0.35">
      <c r="B25" s="105" t="s">
        <v>121</v>
      </c>
    </row>
    <row r="26" spans="2:9" x14ac:dyDescent="0.35">
      <c r="B26" s="105" t="s">
        <v>146</v>
      </c>
    </row>
    <row r="27" spans="2:9" ht="18.5" x14ac:dyDescent="0.35">
      <c r="B27" s="105" t="s">
        <v>122</v>
      </c>
    </row>
    <row r="28" spans="2:9" ht="18.5" x14ac:dyDescent="0.35">
      <c r="B28" s="105" t="s">
        <v>123</v>
      </c>
    </row>
    <row r="29" spans="2:9" ht="18.5" x14ac:dyDescent="0.35">
      <c r="B29" s="105" t="s">
        <v>124</v>
      </c>
    </row>
    <row r="30" spans="2:9" ht="18.5" x14ac:dyDescent="0.35">
      <c r="B30" s="105" t="s">
        <v>125</v>
      </c>
    </row>
    <row r="31" spans="2:9" x14ac:dyDescent="0.35">
      <c r="B31" s="183"/>
    </row>
    <row r="32" spans="2:9" x14ac:dyDescent="0.35">
      <c r="B32" s="105" t="s">
        <v>438</v>
      </c>
    </row>
    <row r="33" spans="2:9" x14ac:dyDescent="0.35">
      <c r="B33" s="130" t="s">
        <v>1889</v>
      </c>
      <c r="C33" s="131"/>
      <c r="D33" s="131"/>
      <c r="E33" s="131"/>
      <c r="F33" s="131"/>
      <c r="G33" s="131"/>
      <c r="H33" s="131"/>
      <c r="I33" s="132"/>
    </row>
    <row r="34" spans="2:9" x14ac:dyDescent="0.35">
      <c r="B34" s="133"/>
      <c r="I34" s="134"/>
    </row>
    <row r="35" spans="2:9" x14ac:dyDescent="0.35">
      <c r="B35" s="133"/>
      <c r="I35" s="134"/>
    </row>
    <row r="36" spans="2:9" x14ac:dyDescent="0.35">
      <c r="B36" s="133"/>
      <c r="I36" s="134"/>
    </row>
    <row r="37" spans="2:9" x14ac:dyDescent="0.35">
      <c r="B37" s="140"/>
      <c r="I37" s="134"/>
    </row>
    <row r="38" spans="2:9" x14ac:dyDescent="0.35">
      <c r="B38" s="140"/>
      <c r="I38" s="134"/>
    </row>
    <row r="39" spans="2:9" x14ac:dyDescent="0.35">
      <c r="B39" s="140"/>
      <c r="I39" s="134"/>
    </row>
    <row r="40" spans="2:9" x14ac:dyDescent="0.35">
      <c r="B40" s="140"/>
      <c r="I40" s="134"/>
    </row>
    <row r="41" spans="2:9" x14ac:dyDescent="0.35">
      <c r="B41" s="141"/>
      <c r="C41" s="116"/>
      <c r="D41" s="116"/>
      <c r="E41" s="116"/>
      <c r="F41" s="116"/>
      <c r="G41" s="116"/>
      <c r="H41" s="116"/>
      <c r="I41" s="136"/>
    </row>
    <row r="43" spans="2:9" ht="16" thickBot="1" x14ac:dyDescent="0.4"/>
    <row r="44" spans="2:9" ht="16" thickBot="1" x14ac:dyDescent="0.4">
      <c r="B44" s="111" t="s">
        <v>397</v>
      </c>
      <c r="C44" s="113"/>
    </row>
    <row r="46" spans="2:9" x14ac:dyDescent="0.35">
      <c r="C46" s="178" t="s">
        <v>401</v>
      </c>
      <c r="D46" s="178"/>
      <c r="E46" s="179"/>
      <c r="F46" s="179"/>
      <c r="G46" s="179"/>
      <c r="H46" s="179"/>
      <c r="I46" s="179"/>
    </row>
    <row r="47" spans="2:9" x14ac:dyDescent="0.35">
      <c r="C47" s="186" t="str">
        <f>CONCATENATE("Allowed Trend: "&amp;'Cover-Input Page '!C5+1&amp;" / "&amp;'Cover-Input Page '!C5)</f>
        <v>Allowed Trend: 2026 / 2025</v>
      </c>
      <c r="D47" s="178"/>
      <c r="E47" s="179"/>
      <c r="F47" s="179"/>
      <c r="G47" s="179"/>
      <c r="H47" s="179"/>
      <c r="I47" s="179"/>
    </row>
    <row r="48" spans="2:9" x14ac:dyDescent="0.35">
      <c r="E48" s="189" t="str">
        <f>CONCATENATE('Cover-Input Page '!C5+1&amp;" Trend Attributable to: ")</f>
        <v xml:space="preserve">2026 Trend Attributable to: </v>
      </c>
      <c r="F48" s="179"/>
      <c r="G48" s="179"/>
      <c r="H48" s="179"/>
    </row>
    <row r="49" spans="2:9" ht="75" customHeight="1" x14ac:dyDescent="0.35">
      <c r="C49" s="184" t="s">
        <v>38</v>
      </c>
      <c r="D49" s="190" t="str">
        <f>CONCATENATE('Cover-Input Page '!C5 &amp;"  Aggregate Dollars (PMPM)")</f>
        <v>2025  Aggregate Dollars (PMPM)</v>
      </c>
      <c r="E49" s="185" t="s">
        <v>44</v>
      </c>
      <c r="F49" s="185" t="s">
        <v>45</v>
      </c>
      <c r="G49" s="185" t="s">
        <v>46</v>
      </c>
      <c r="H49" s="190" t="str">
        <f>CONCATENATE('Cover-Input Page '!C5+1 &amp;" Projected Aggregate Dollars (PMPM)")</f>
        <v>2026 Projected Aggregate Dollars (PMPM)</v>
      </c>
      <c r="I49" s="190" t="str">
        <f>CONCATENATE("Overall "&amp;'Cover-Input Page '!C5+1&amp;" Trend")</f>
        <v>Overall 2026 Trend</v>
      </c>
    </row>
    <row r="50" spans="2:9" ht="18.5" x14ac:dyDescent="0.35">
      <c r="C50" s="161" t="s">
        <v>126</v>
      </c>
      <c r="D50" s="180">
        <v>34.281559474908335</v>
      </c>
      <c r="E50" s="181">
        <v>2.3599999999999999E-2</v>
      </c>
      <c r="F50" s="181">
        <v>3.5000000000000003E-2</v>
      </c>
      <c r="G50" s="181">
        <v>0</v>
      </c>
      <c r="H50" s="188">
        <f>D50*(1+E50)*(1+F50)*(1+G50)</f>
        <v>36.318775428264239</v>
      </c>
      <c r="I50" s="173">
        <f>(1+E50)*(1+F50)*(1+G50)-1</f>
        <v>5.9425999999999979E-2</v>
      </c>
    </row>
    <row r="51" spans="2:9" x14ac:dyDescent="0.35">
      <c r="C51" s="161" t="s">
        <v>39</v>
      </c>
      <c r="D51" s="180">
        <v>93.65880387422277</v>
      </c>
      <c r="E51" s="181">
        <v>2.3599999999999999E-2</v>
      </c>
      <c r="F51" s="181">
        <v>3.5000000000000003E-2</v>
      </c>
      <c r="G51" s="181">
        <v>0</v>
      </c>
      <c r="H51" s="188">
        <f t="shared" ref="H51:H60" si="1">D51*(1+E51)*(1+F51)*(1+G51)</f>
        <v>99.224571953252322</v>
      </c>
      <c r="I51" s="173">
        <f t="shared" ref="I51:I60" si="2">(1+E51)*(1+F51)*(1+G51)-1</f>
        <v>5.9425999999999979E-2</v>
      </c>
    </row>
    <row r="52" spans="2:9" ht="18.5" x14ac:dyDescent="0.35">
      <c r="C52" s="161" t="s">
        <v>127</v>
      </c>
      <c r="D52" s="180">
        <v>120.39795728395214</v>
      </c>
      <c r="E52" s="181">
        <v>2.3599999999999999E-2</v>
      </c>
      <c r="F52" s="181">
        <v>3.5000000000000003E-2</v>
      </c>
      <c r="G52" s="181">
        <v>0</v>
      </c>
      <c r="H52" s="188">
        <f t="shared" si="1"/>
        <v>127.55272629350827</v>
      </c>
      <c r="I52" s="173">
        <f t="shared" si="2"/>
        <v>5.9425999999999979E-2</v>
      </c>
    </row>
    <row r="53" spans="2:9" x14ac:dyDescent="0.35">
      <c r="C53" s="161" t="s">
        <v>40</v>
      </c>
      <c r="D53" s="180">
        <v>2.1890314603239345</v>
      </c>
      <c r="E53" s="181">
        <v>2.3599999999999999E-2</v>
      </c>
      <c r="F53" s="181">
        <v>3.5000000000000003E-2</v>
      </c>
      <c r="G53" s="181">
        <v>0</v>
      </c>
      <c r="H53" s="188">
        <f t="shared" si="1"/>
        <v>2.3191168438851446</v>
      </c>
      <c r="I53" s="173">
        <f t="shared" si="2"/>
        <v>5.9425999999999979E-2</v>
      </c>
    </row>
    <row r="54" spans="2:9" ht="18.5" x14ac:dyDescent="0.35">
      <c r="C54" s="161" t="s">
        <v>391</v>
      </c>
      <c r="D54" s="180">
        <v>16.052897375708849</v>
      </c>
      <c r="E54" s="181">
        <v>2.3599999999999999E-2</v>
      </c>
      <c r="F54" s="181">
        <v>3.5000000000000003E-2</v>
      </c>
      <c r="G54" s="181">
        <v>0</v>
      </c>
      <c r="H54" s="188">
        <f t="shared" si="1"/>
        <v>17.006856855157725</v>
      </c>
      <c r="I54" s="173">
        <f t="shared" si="2"/>
        <v>5.9425999999999979E-2</v>
      </c>
    </row>
    <row r="55" spans="2:9" x14ac:dyDescent="0.35">
      <c r="C55" s="161" t="s">
        <v>41</v>
      </c>
      <c r="D55" s="180">
        <v>0</v>
      </c>
      <c r="E55" s="181">
        <v>0</v>
      </c>
      <c r="F55" s="181">
        <v>0</v>
      </c>
      <c r="G55" s="181">
        <v>0</v>
      </c>
      <c r="H55" s="188">
        <f t="shared" si="1"/>
        <v>0</v>
      </c>
      <c r="I55" s="173">
        <f t="shared" si="2"/>
        <v>0</v>
      </c>
    </row>
    <row r="56" spans="2:9" x14ac:dyDescent="0.35">
      <c r="C56" s="161" t="s">
        <v>42</v>
      </c>
      <c r="D56" s="180">
        <v>0</v>
      </c>
      <c r="E56" s="181">
        <v>0</v>
      </c>
      <c r="F56" s="181">
        <v>0</v>
      </c>
      <c r="G56" s="181">
        <v>0</v>
      </c>
      <c r="H56" s="188">
        <f t="shared" si="1"/>
        <v>0</v>
      </c>
      <c r="I56" s="173">
        <f t="shared" si="2"/>
        <v>0</v>
      </c>
    </row>
    <row r="57" spans="2:9" x14ac:dyDescent="0.35">
      <c r="C57" s="161" t="s">
        <v>43</v>
      </c>
      <c r="D57" s="180">
        <v>0</v>
      </c>
      <c r="E57" s="181">
        <v>0</v>
      </c>
      <c r="F57" s="181">
        <v>0</v>
      </c>
      <c r="G57" s="181">
        <v>0</v>
      </c>
      <c r="H57" s="188">
        <f t="shared" si="1"/>
        <v>0</v>
      </c>
      <c r="I57" s="173">
        <f t="shared" si="2"/>
        <v>0</v>
      </c>
    </row>
    <row r="58" spans="2:9" x14ac:dyDescent="0.35">
      <c r="C58" s="182" t="s">
        <v>458</v>
      </c>
      <c r="D58" s="180">
        <v>0</v>
      </c>
      <c r="E58" s="181">
        <v>0</v>
      </c>
      <c r="F58" s="181">
        <v>0</v>
      </c>
      <c r="G58" s="181">
        <v>0</v>
      </c>
      <c r="H58" s="188">
        <f t="shared" si="1"/>
        <v>0</v>
      </c>
      <c r="I58" s="173">
        <f t="shared" si="2"/>
        <v>0</v>
      </c>
    </row>
    <row r="59" spans="2:9" x14ac:dyDescent="0.35">
      <c r="C59" s="182" t="s">
        <v>398</v>
      </c>
      <c r="D59" s="188">
        <f>SUM(D50:D58)</f>
        <v>266.58024946911604</v>
      </c>
      <c r="E59" s="173">
        <f>SUMPRODUCT(E50:E58,D50:D58)/D59</f>
        <v>2.3599999999999996E-2</v>
      </c>
      <c r="F59" s="173">
        <f>SUMPRODUCT(F50:F58,D50:D58)/D59</f>
        <v>3.4999999999999996E-2</v>
      </c>
      <c r="G59" s="173">
        <f>SUMPRODUCT(G50:G58,D50:D58)/D59</f>
        <v>0</v>
      </c>
      <c r="H59" s="188">
        <f>SUM(H50:H58)</f>
        <v>282.42204737406769</v>
      </c>
      <c r="I59" s="173">
        <f>SUMPRODUCT(D50:D58,I50:I58)/D59</f>
        <v>5.9425999999999972E-2</v>
      </c>
    </row>
    <row r="60" spans="2:9" ht="18.5" x14ac:dyDescent="0.35">
      <c r="C60" s="161" t="s">
        <v>128</v>
      </c>
      <c r="D60" s="180">
        <v>118.64816928457103</v>
      </c>
      <c r="E60" s="181">
        <v>0.14799999999999999</v>
      </c>
      <c r="F60" s="181">
        <v>3.5000000000000003E-2</v>
      </c>
      <c r="G60" s="181">
        <v>0</v>
      </c>
      <c r="H60" s="188">
        <f t="shared" si="1"/>
        <v>140.9753817805416</v>
      </c>
      <c r="I60" s="173">
        <f t="shared" si="2"/>
        <v>0.18817999999999979</v>
      </c>
    </row>
    <row r="61" spans="2:9" x14ac:dyDescent="0.35">
      <c r="C61" s="161" t="s">
        <v>399</v>
      </c>
      <c r="D61" s="188">
        <f>SUM(D59:D60)</f>
        <v>385.22841875368704</v>
      </c>
      <c r="E61" s="173">
        <f>SUMPRODUCT(E59:E60,D59:D60)/D61</f>
        <v>6.1914494830761675E-2</v>
      </c>
      <c r="F61" s="173">
        <f>SUMPRODUCT(F59:F60,D59:D60)/D61</f>
        <v>3.5000000000000003E-2</v>
      </c>
      <c r="G61" s="173">
        <f>SUMPRODUCT(G59:G60,D59:D60)/D61</f>
        <v>0</v>
      </c>
      <c r="H61" s="188">
        <f>SUM(H59:H60)</f>
        <v>423.39742915460931</v>
      </c>
      <c r="I61" s="149">
        <f>SUMPRODUCT(D59:D60,I59:I60)/D61</f>
        <v>9.9081502149838255E-2</v>
      </c>
    </row>
    <row r="62" spans="2:9" x14ac:dyDescent="0.35">
      <c r="B62" s="116"/>
      <c r="C62" s="116"/>
      <c r="D62" s="116"/>
      <c r="E62" s="116"/>
      <c r="F62" s="116"/>
      <c r="G62" s="116"/>
      <c r="H62" s="116"/>
      <c r="I62" s="116"/>
    </row>
    <row r="63" spans="2:9" ht="18.5" x14ac:dyDescent="0.35">
      <c r="B63" s="105" t="s">
        <v>129</v>
      </c>
    </row>
    <row r="64" spans="2:9" ht="18.5" x14ac:dyDescent="0.35">
      <c r="B64" s="105" t="s">
        <v>130</v>
      </c>
    </row>
    <row r="65" spans="2:9" ht="18.5" x14ac:dyDescent="0.35">
      <c r="B65" s="105" t="s">
        <v>131</v>
      </c>
    </row>
    <row r="66" spans="2:9" ht="18.5" x14ac:dyDescent="0.35">
      <c r="B66" s="105" t="s">
        <v>192</v>
      </c>
    </row>
    <row r="68" spans="2:9" x14ac:dyDescent="0.35">
      <c r="B68" s="105" t="s">
        <v>439</v>
      </c>
    </row>
    <row r="69" spans="2:9" x14ac:dyDescent="0.35">
      <c r="B69" s="130" t="s">
        <v>1889</v>
      </c>
      <c r="C69" s="131"/>
      <c r="D69" s="131"/>
      <c r="E69" s="131"/>
      <c r="F69" s="131"/>
      <c r="G69" s="131"/>
      <c r="H69" s="131"/>
      <c r="I69" s="132"/>
    </row>
    <row r="70" spans="2:9" x14ac:dyDescent="0.35">
      <c r="B70" s="133"/>
      <c r="I70" s="134"/>
    </row>
    <row r="71" spans="2:9" x14ac:dyDescent="0.35">
      <c r="B71" s="133"/>
      <c r="I71" s="134"/>
    </row>
    <row r="72" spans="2:9" x14ac:dyDescent="0.35">
      <c r="B72" s="133"/>
      <c r="I72" s="134"/>
    </row>
    <row r="73" spans="2:9" x14ac:dyDescent="0.35">
      <c r="B73" s="140"/>
      <c r="I73" s="134"/>
    </row>
    <row r="74" spans="2:9" x14ac:dyDescent="0.35">
      <c r="B74" s="140"/>
      <c r="I74" s="134"/>
    </row>
    <row r="75" spans="2:9" x14ac:dyDescent="0.35">
      <c r="B75" s="140"/>
      <c r="I75" s="134"/>
    </row>
    <row r="76" spans="2:9" x14ac:dyDescent="0.35">
      <c r="B76" s="140"/>
      <c r="I76" s="134"/>
    </row>
    <row r="77" spans="2:9" x14ac:dyDescent="0.35">
      <c r="B77" s="141"/>
      <c r="C77" s="116"/>
      <c r="D77" s="116"/>
      <c r="E77" s="116"/>
      <c r="F77" s="116"/>
      <c r="G77" s="116"/>
      <c r="H77" s="116"/>
      <c r="I77" s="136"/>
    </row>
  </sheetData>
  <sheetProtection algorithmName="SHA-512" hashValue="5fq50mmflw83i7G6fUfXNVrfiML29pTRp0LsHR12AdipkaDNW6izNGMzVv/+Z2wQI5UBI3daCe9/PUBdYQ9Ajg==" saltValue="n9XwuqC/MuA3WFXdXKLGpA==" spinCount="100000" sheet="1" objects="1" scenarios="1"/>
  <pageMargins left="0.7" right="0.7" top="0.75" bottom="0.75" header="0.3" footer="0.3"/>
  <pageSetup orientation="portrait" r:id="rId1"/>
  <headerFooter>
    <oddFooter>&amp;L&amp;A
Version Date: June 2, 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EFB79-FACF-4091-919E-764E2294094E}">
  <dimension ref="B1:C19"/>
  <sheetViews>
    <sheetView showGridLines="0" topLeftCell="A9" workbookViewId="0">
      <selection activeCell="C19" sqref="C19"/>
    </sheetView>
  </sheetViews>
  <sheetFormatPr defaultColWidth="9.84375" defaultRowHeight="15.5" x14ac:dyDescent="0.35"/>
  <cols>
    <col min="1" max="1" width="3.07421875" style="105" customWidth="1"/>
    <col min="2" max="2" width="9.84375" style="105" customWidth="1"/>
    <col min="3" max="3" width="17.4609375" style="105" customWidth="1"/>
    <col min="4" max="4" width="55.84375" style="105" customWidth="1"/>
    <col min="5" max="16384" width="9.84375" style="105"/>
  </cols>
  <sheetData>
    <row r="1" spans="2:3" ht="18" x14ac:dyDescent="0.4">
      <c r="B1" s="104" t="s">
        <v>47</v>
      </c>
    </row>
    <row r="3" spans="2:3" x14ac:dyDescent="0.35">
      <c r="B3" s="171" t="str">
        <f>'Cover-Input Page '!$C7</f>
        <v>Wellfleet Insurance Company</v>
      </c>
      <c r="C3" s="154"/>
    </row>
    <row r="4" spans="2:3" ht="16" thickBot="1" x14ac:dyDescent="0.4">
      <c r="B4" s="172" t="str">
        <f>"Reporting Year: "&amp;'Cover-Input Page '!$C5</f>
        <v>Reporting Year: 2025</v>
      </c>
      <c r="C4" s="154"/>
    </row>
    <row r="5" spans="2:3" ht="16" thickBot="1" x14ac:dyDescent="0.4"/>
    <row r="6" spans="2:3" ht="16" thickBot="1" x14ac:dyDescent="0.4">
      <c r="B6" s="111" t="s">
        <v>54</v>
      </c>
      <c r="C6" s="113"/>
    </row>
    <row r="8" spans="2:3" x14ac:dyDescent="0.35">
      <c r="C8" s="105" t="s">
        <v>132</v>
      </c>
    </row>
    <row r="9" spans="2:3" x14ac:dyDescent="0.35">
      <c r="C9" s="105" t="s">
        <v>133</v>
      </c>
    </row>
    <row r="10" spans="2:3" x14ac:dyDescent="0.35">
      <c r="C10" s="105" t="s">
        <v>134</v>
      </c>
    </row>
    <row r="12" spans="2:3" x14ac:dyDescent="0.35">
      <c r="C12" s="105" t="s">
        <v>135</v>
      </c>
    </row>
    <row r="13" spans="2:3" x14ac:dyDescent="0.35">
      <c r="C13" s="105" t="s">
        <v>136</v>
      </c>
    </row>
    <row r="14" spans="2:3" x14ac:dyDescent="0.35">
      <c r="C14" s="105" t="s">
        <v>137</v>
      </c>
    </row>
    <row r="15" spans="2:3" x14ac:dyDescent="0.35">
      <c r="C15" s="105" t="s">
        <v>138</v>
      </c>
    </row>
    <row r="16" spans="2:3" x14ac:dyDescent="0.35">
      <c r="C16" s="105" t="s">
        <v>139</v>
      </c>
    </row>
    <row r="17" spans="3:3" x14ac:dyDescent="0.35">
      <c r="C17" s="105" t="s">
        <v>140</v>
      </c>
    </row>
    <row r="19" spans="3:3" x14ac:dyDescent="0.35">
      <c r="C19" s="158" t="s">
        <v>141</v>
      </c>
    </row>
  </sheetData>
  <sheetProtection algorithmName="SHA-512" hashValue="VlepmHySO3WaR0SLneOPm6NOk+Y0V87Er4+8EUPpPNH/zcAAZHY+cjYJusrOuHopMCiW1Z2d7ORIJgKJQluTPA==" saltValue="Mx+Vn8bqMlOMCc9IRMnG/A==" spinCount="100000" sheet="1" objects="1" scenarios="1"/>
  <hyperlinks>
    <hyperlink ref="C19" location="'LGHistData Report ===&gt;&gt;&gt;'!A1" display="Complete CA Large Group Historical Data Spreadsheet - Excel" xr:uid="{4CD5964B-A67E-4DF5-878B-7BEF0DA62AAF}"/>
  </hyperlinks>
  <pageMargins left="0.7" right="0.7" top="0.75" bottom="0.75" header="0.3" footer="0.3"/>
  <pageSetup orientation="portrait" r:id="rId1"/>
  <headerFooter>
    <oddFooter>&amp;L&amp;A
Version Date: June 2, 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F7FC7-02FC-4302-95E5-6F4AC3A1A74B}">
  <dimension ref="B1:F62"/>
  <sheetViews>
    <sheetView showGridLines="0" topLeftCell="A46" workbookViewId="0">
      <selection activeCell="C49" sqref="C49"/>
    </sheetView>
  </sheetViews>
  <sheetFormatPr defaultColWidth="8.84375" defaultRowHeight="15.5" x14ac:dyDescent="0.35"/>
  <cols>
    <col min="1" max="1" width="3.07421875" style="105" customWidth="1"/>
    <col min="2" max="2" width="9.84375" style="105" customWidth="1"/>
    <col min="3" max="3" width="18.84375" style="105" customWidth="1"/>
    <col min="4" max="4" width="18.53515625" style="105" customWidth="1"/>
    <col min="5" max="5" width="19.84375" style="105" customWidth="1"/>
    <col min="6" max="6" width="71" style="105" customWidth="1"/>
    <col min="7" max="16384" width="8.84375" style="105"/>
  </cols>
  <sheetData>
    <row r="1" spans="2:4" ht="18" x14ac:dyDescent="0.4">
      <c r="B1" s="104" t="s">
        <v>47</v>
      </c>
    </row>
    <row r="3" spans="2:4" x14ac:dyDescent="0.35">
      <c r="B3" s="171" t="str">
        <f>'Cover-Input Page '!$C7</f>
        <v>Wellfleet Insurance Company</v>
      </c>
      <c r="C3" s="154"/>
    </row>
    <row r="4" spans="2:4" x14ac:dyDescent="0.35">
      <c r="B4" s="177" t="str">
        <f>"Reporting Year: "&amp;'Cover-Input Page '!$C5</f>
        <v>Reporting Year: 2025</v>
      </c>
      <c r="C4" s="154"/>
    </row>
    <row r="5" spans="2:4" ht="16" thickBot="1" x14ac:dyDescent="0.4"/>
    <row r="6" spans="2:4" ht="16" thickBot="1" x14ac:dyDescent="0.4">
      <c r="B6" s="111" t="s">
        <v>465</v>
      </c>
      <c r="C6" s="113"/>
      <c r="D6" s="113"/>
    </row>
    <row r="8" spans="2:4" x14ac:dyDescent="0.35">
      <c r="C8" s="105" t="s">
        <v>254</v>
      </c>
    </row>
    <row r="9" spans="2:4" x14ac:dyDescent="0.35">
      <c r="C9" s="105" t="s">
        <v>142</v>
      </c>
    </row>
    <row r="11" spans="2:4" x14ac:dyDescent="0.35">
      <c r="C11" s="105" t="s">
        <v>143</v>
      </c>
    </row>
    <row r="12" spans="2:4" x14ac:dyDescent="0.35">
      <c r="C12" s="105" t="s">
        <v>144</v>
      </c>
    </row>
    <row r="13" spans="2:4" x14ac:dyDescent="0.35">
      <c r="C13" s="105" t="s">
        <v>440</v>
      </c>
    </row>
    <row r="14" spans="2:4" x14ac:dyDescent="0.35">
      <c r="C14" s="105" t="s">
        <v>145</v>
      </c>
    </row>
    <row r="16" spans="2:4" ht="16" thickBot="1" x14ac:dyDescent="0.4">
      <c r="C16" s="105" t="s">
        <v>100</v>
      </c>
    </row>
    <row r="17" spans="3:6" x14ac:dyDescent="0.35">
      <c r="C17" s="165" t="s">
        <v>1890</v>
      </c>
      <c r="D17" s="107"/>
      <c r="E17" s="107"/>
      <c r="F17" s="108"/>
    </row>
    <row r="18" spans="3:6" x14ac:dyDescent="0.35">
      <c r="C18" s="166"/>
      <c r="F18" s="167"/>
    </row>
    <row r="19" spans="3:6" x14ac:dyDescent="0.35">
      <c r="C19" s="166"/>
      <c r="F19" s="167"/>
    </row>
    <row r="20" spans="3:6" x14ac:dyDescent="0.35">
      <c r="C20" s="166"/>
      <c r="F20" s="167"/>
    </row>
    <row r="21" spans="3:6" x14ac:dyDescent="0.35">
      <c r="C21" s="166"/>
      <c r="F21" s="167"/>
    </row>
    <row r="22" spans="3:6" x14ac:dyDescent="0.35">
      <c r="C22" s="166"/>
      <c r="F22" s="167"/>
    </row>
    <row r="23" spans="3:6" x14ac:dyDescent="0.35">
      <c r="C23" s="166"/>
      <c r="F23" s="167"/>
    </row>
    <row r="24" spans="3:6" x14ac:dyDescent="0.35">
      <c r="C24" s="166"/>
      <c r="F24" s="167"/>
    </row>
    <row r="25" spans="3:6" x14ac:dyDescent="0.35">
      <c r="C25" s="166"/>
      <c r="F25" s="167"/>
    </row>
    <row r="26" spans="3:6" x14ac:dyDescent="0.35">
      <c r="C26" s="166"/>
      <c r="F26" s="167"/>
    </row>
    <row r="27" spans="3:6" x14ac:dyDescent="0.35">
      <c r="C27" s="166"/>
      <c r="F27" s="167"/>
    </row>
    <row r="28" spans="3:6" x14ac:dyDescent="0.35">
      <c r="C28" s="166"/>
      <c r="F28" s="167"/>
    </row>
    <row r="29" spans="3:6" x14ac:dyDescent="0.35">
      <c r="C29" s="166"/>
      <c r="F29" s="167"/>
    </row>
    <row r="30" spans="3:6" x14ac:dyDescent="0.35">
      <c r="C30" s="166"/>
      <c r="F30" s="167"/>
    </row>
    <row r="31" spans="3:6" x14ac:dyDescent="0.35">
      <c r="C31" s="166"/>
      <c r="F31" s="167"/>
    </row>
    <row r="32" spans="3:6" x14ac:dyDescent="0.35">
      <c r="C32" s="166"/>
      <c r="F32" s="167"/>
    </row>
    <row r="33" spans="3:6" x14ac:dyDescent="0.35">
      <c r="C33" s="166"/>
      <c r="F33" s="167"/>
    </row>
    <row r="34" spans="3:6" x14ac:dyDescent="0.35">
      <c r="C34" s="166"/>
      <c r="F34" s="167"/>
    </row>
    <row r="35" spans="3:6" x14ac:dyDescent="0.35">
      <c r="C35" s="166"/>
      <c r="F35" s="167"/>
    </row>
    <row r="36" spans="3:6" x14ac:dyDescent="0.35">
      <c r="C36" s="166"/>
      <c r="F36" s="167"/>
    </row>
    <row r="37" spans="3:6" x14ac:dyDescent="0.35">
      <c r="C37" s="166"/>
      <c r="F37" s="167"/>
    </row>
    <row r="38" spans="3:6" x14ac:dyDescent="0.35">
      <c r="C38" s="166"/>
      <c r="F38" s="167"/>
    </row>
    <row r="39" spans="3:6" x14ac:dyDescent="0.35">
      <c r="C39" s="166"/>
      <c r="F39" s="167"/>
    </row>
    <row r="40" spans="3:6" x14ac:dyDescent="0.35">
      <c r="C40" s="166"/>
      <c r="F40" s="167"/>
    </row>
    <row r="41" spans="3:6" x14ac:dyDescent="0.35">
      <c r="C41" s="166"/>
      <c r="F41" s="167"/>
    </row>
    <row r="42" spans="3:6" ht="16" thickBot="1" x14ac:dyDescent="0.4">
      <c r="C42" s="168"/>
      <c r="D42" s="169"/>
      <c r="E42" s="169"/>
      <c r="F42" s="170"/>
    </row>
    <row r="44" spans="3:6" x14ac:dyDescent="0.35">
      <c r="C44" s="105" t="s">
        <v>148</v>
      </c>
    </row>
    <row r="45" spans="3:6" ht="18.5" x14ac:dyDescent="0.35">
      <c r="C45" s="105" t="s">
        <v>149</v>
      </c>
    </row>
    <row r="46" spans="3:6" ht="16" thickBot="1" x14ac:dyDescent="0.4"/>
    <row r="47" spans="3:6" x14ac:dyDescent="0.35">
      <c r="C47" s="165"/>
      <c r="D47" s="191"/>
      <c r="E47" s="191"/>
      <c r="F47" s="192"/>
    </row>
    <row r="48" spans="3:6" x14ac:dyDescent="0.35">
      <c r="C48" s="193" t="s">
        <v>1891</v>
      </c>
      <c r="D48" s="194"/>
      <c r="E48" s="194"/>
      <c r="F48" s="195"/>
    </row>
    <row r="49" spans="3:6" x14ac:dyDescent="0.35">
      <c r="C49" s="196"/>
      <c r="D49" s="197"/>
      <c r="E49" s="197"/>
      <c r="F49" s="199"/>
    </row>
    <row r="50" spans="3:6" x14ac:dyDescent="0.35">
      <c r="C50" s="196"/>
      <c r="D50" s="197"/>
      <c r="E50" s="197"/>
      <c r="F50" s="199"/>
    </row>
    <row r="51" spans="3:6" x14ac:dyDescent="0.35">
      <c r="C51" s="196"/>
      <c r="D51" s="197"/>
      <c r="E51" s="197"/>
      <c r="F51" s="199"/>
    </row>
    <row r="52" spans="3:6" x14ac:dyDescent="0.35">
      <c r="C52" s="196"/>
      <c r="D52" s="197"/>
      <c r="E52" s="197"/>
      <c r="F52" s="199"/>
    </row>
    <row r="53" spans="3:6" x14ac:dyDescent="0.35">
      <c r="C53" s="196"/>
      <c r="D53" s="197"/>
      <c r="E53" s="197"/>
      <c r="F53" s="199"/>
    </row>
    <row r="54" spans="3:6" x14ac:dyDescent="0.35">
      <c r="C54" s="196"/>
      <c r="D54" s="197"/>
      <c r="E54" s="197"/>
      <c r="F54" s="199"/>
    </row>
    <row r="55" spans="3:6" x14ac:dyDescent="0.35">
      <c r="C55" s="196"/>
      <c r="D55" s="197"/>
      <c r="E55" s="197"/>
      <c r="F55" s="199"/>
    </row>
    <row r="56" spans="3:6" x14ac:dyDescent="0.35">
      <c r="C56" s="196"/>
      <c r="D56" s="197"/>
      <c r="E56" s="197"/>
      <c r="F56" s="199"/>
    </row>
    <row r="57" spans="3:6" x14ac:dyDescent="0.35">
      <c r="C57" s="196"/>
      <c r="D57" s="197"/>
      <c r="E57" s="197"/>
      <c r="F57" s="199"/>
    </row>
    <row r="58" spans="3:6" x14ac:dyDescent="0.35">
      <c r="C58" s="196"/>
      <c r="D58" s="197"/>
      <c r="E58" s="197"/>
      <c r="F58" s="199"/>
    </row>
    <row r="59" spans="3:6" ht="16" thickBot="1" x14ac:dyDescent="0.4">
      <c r="C59" s="168"/>
      <c r="D59" s="169"/>
      <c r="E59" s="169"/>
      <c r="F59" s="170"/>
    </row>
    <row r="60" spans="3:6" x14ac:dyDescent="0.35">
      <c r="C60" s="198"/>
      <c r="D60" s="198"/>
      <c r="E60" s="198"/>
      <c r="F60" s="198"/>
    </row>
    <row r="61" spans="3:6" ht="18.5" x14ac:dyDescent="0.35">
      <c r="C61" s="105" t="s">
        <v>150</v>
      </c>
    </row>
    <row r="62" spans="3:6" x14ac:dyDescent="0.35">
      <c r="C62" s="105" t="s">
        <v>151</v>
      </c>
    </row>
  </sheetData>
  <sheetProtection algorithmName="SHA-512" hashValue="stjGfg+IT0BjGH2SouhaZ/ds586J76rHXRW22Nkszgri+M2BCeSx0JwCy5x2gArHtmTDLOs8zUZwH+Ag+y1zUQ==" saltValue="UsT6NaMX8/IIFchNbm2ODA==" spinCount="100000" sheet="1" objects="1" scenarios="1"/>
  <pageMargins left="0.7" right="0.7" top="0.75" bottom="0.75" header="0.3" footer="0.3"/>
  <pageSetup orientation="portrait" r:id="rId1"/>
  <headerFooter>
    <oddFooter>&amp;L&amp;A
Version Date: June 2, 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55FF-4E6C-467C-9031-7A4E77B07A79}">
  <dimension ref="A1:I105"/>
  <sheetViews>
    <sheetView showGridLines="0" workbookViewId="0">
      <selection activeCell="E100" sqref="E100"/>
    </sheetView>
  </sheetViews>
  <sheetFormatPr defaultColWidth="8.84375" defaultRowHeight="15.5" x14ac:dyDescent="0.35"/>
  <cols>
    <col min="1" max="1" width="52.53515625" style="258" bestFit="1" customWidth="1"/>
    <col min="2" max="3" width="14.07421875" style="258" customWidth="1"/>
    <col min="4" max="4" width="14.3046875" style="258" customWidth="1"/>
    <col min="5" max="5" width="14.69140625" style="258" customWidth="1"/>
    <col min="6" max="6" width="14.84375" style="258" customWidth="1"/>
    <col min="7" max="7" width="16.84375" style="258" customWidth="1"/>
    <col min="8" max="9" width="17.07421875" style="258" customWidth="1"/>
    <col min="10" max="16384" width="8.84375" style="258"/>
  </cols>
  <sheetData>
    <row r="1" spans="1:9" ht="18" x14ac:dyDescent="0.4">
      <c r="A1" s="104" t="s">
        <v>47</v>
      </c>
    </row>
    <row r="2" spans="1:9" x14ac:dyDescent="0.35">
      <c r="A2" s="105"/>
    </row>
    <row r="3" spans="1:9" x14ac:dyDescent="0.35">
      <c r="A3" s="171" t="str">
        <f>'Cover-Input Page '!$C7</f>
        <v>Wellfleet Insurance Company</v>
      </c>
    </row>
    <row r="4" spans="1:9" x14ac:dyDescent="0.35">
      <c r="A4" s="177" t="str">
        <f>"Reporting Year: "&amp;'Cover-Input Page '!$C5</f>
        <v>Reporting Year: 2025</v>
      </c>
    </row>
    <row r="5" spans="1:9" ht="16" thickBot="1" x14ac:dyDescent="0.4">
      <c r="A5" s="105"/>
    </row>
    <row r="6" spans="1:9" ht="16" thickBot="1" x14ac:dyDescent="0.4">
      <c r="A6" s="352" t="s">
        <v>512</v>
      </c>
    </row>
    <row r="7" spans="1:9" x14ac:dyDescent="0.35">
      <c r="A7" s="372"/>
      <c r="B7" s="372"/>
      <c r="C7" s="372"/>
      <c r="D7" s="372"/>
      <c r="E7" s="372"/>
      <c r="F7" s="372"/>
      <c r="G7" s="372"/>
      <c r="H7" s="372"/>
      <c r="I7" s="372"/>
    </row>
    <row r="8" spans="1:9" x14ac:dyDescent="0.35">
      <c r="A8" s="373"/>
      <c r="B8" s="374" t="s">
        <v>18</v>
      </c>
      <c r="C8" s="374"/>
      <c r="D8" s="374"/>
      <c r="E8" s="374"/>
      <c r="F8" s="374"/>
      <c r="G8" s="374"/>
      <c r="H8" s="374"/>
      <c r="I8" s="374"/>
    </row>
    <row r="9" spans="1:9" ht="46.5" x14ac:dyDescent="0.35">
      <c r="A9" s="375" t="s">
        <v>466</v>
      </c>
      <c r="B9" s="376">
        <v>0</v>
      </c>
      <c r="C9" s="377" t="s">
        <v>467</v>
      </c>
      <c r="D9" s="377" t="s">
        <v>468</v>
      </c>
      <c r="E9" s="377" t="s">
        <v>469</v>
      </c>
      <c r="F9" s="377" t="s">
        <v>470</v>
      </c>
      <c r="G9" s="377" t="s">
        <v>471</v>
      </c>
      <c r="H9" s="377" t="s">
        <v>472</v>
      </c>
      <c r="I9" s="378" t="s">
        <v>473</v>
      </c>
    </row>
    <row r="10" spans="1:9" x14ac:dyDescent="0.35">
      <c r="A10" s="379" t="s">
        <v>474</v>
      </c>
      <c r="B10" s="380"/>
      <c r="C10" s="381"/>
      <c r="D10" s="381"/>
      <c r="E10" s="381"/>
      <c r="F10" s="381"/>
      <c r="G10" s="381"/>
      <c r="H10" s="381"/>
      <c r="I10" s="381"/>
    </row>
    <row r="11" spans="1:9" x14ac:dyDescent="0.35">
      <c r="A11" s="382" t="s">
        <v>29</v>
      </c>
      <c r="B11" s="351"/>
      <c r="C11" s="351"/>
      <c r="D11" s="351"/>
      <c r="E11" s="351"/>
      <c r="F11" s="351"/>
      <c r="G11" s="351"/>
      <c r="H11" s="351"/>
      <c r="I11" s="390">
        <f>SUM(B11:H11)</f>
        <v>0</v>
      </c>
    </row>
    <row r="12" spans="1:9" x14ac:dyDescent="0.35">
      <c r="A12" s="382" t="s">
        <v>27</v>
      </c>
      <c r="B12" s="351"/>
      <c r="C12" s="351">
        <v>51138</v>
      </c>
      <c r="D12" s="351">
        <v>412</v>
      </c>
      <c r="E12" s="351"/>
      <c r="F12" s="351"/>
      <c r="G12" s="351"/>
      <c r="H12" s="351"/>
      <c r="I12" s="390">
        <f t="shared" ref="I12:I16" si="0">SUM(B12:H12)</f>
        <v>51550</v>
      </c>
    </row>
    <row r="13" spans="1:9" x14ac:dyDescent="0.35">
      <c r="A13" s="382" t="s">
        <v>30</v>
      </c>
      <c r="B13" s="351"/>
      <c r="C13" s="351"/>
      <c r="D13" s="351"/>
      <c r="E13" s="351"/>
      <c r="F13" s="351"/>
      <c r="G13" s="351"/>
      <c r="H13" s="351"/>
      <c r="I13" s="390">
        <f t="shared" si="0"/>
        <v>0</v>
      </c>
    </row>
    <row r="14" spans="1:9" x14ac:dyDescent="0.35">
      <c r="A14" s="382" t="s">
        <v>28</v>
      </c>
      <c r="B14" s="351"/>
      <c r="C14" s="351"/>
      <c r="D14" s="351"/>
      <c r="E14" s="351"/>
      <c r="F14" s="351"/>
      <c r="G14" s="351"/>
      <c r="H14" s="351"/>
      <c r="I14" s="390">
        <f t="shared" si="0"/>
        <v>0</v>
      </c>
    </row>
    <row r="15" spans="1:9" x14ac:dyDescent="0.35">
      <c r="A15" s="382" t="s">
        <v>32</v>
      </c>
      <c r="B15" s="351"/>
      <c r="C15" s="351"/>
      <c r="D15" s="351"/>
      <c r="E15" s="351"/>
      <c r="F15" s="351"/>
      <c r="G15" s="351"/>
      <c r="H15" s="351"/>
      <c r="I15" s="390">
        <f t="shared" si="0"/>
        <v>0</v>
      </c>
    </row>
    <row r="16" spans="1:9" ht="16" thickBot="1" x14ac:dyDescent="0.4">
      <c r="A16" s="382" t="s">
        <v>475</v>
      </c>
      <c r="B16" s="351"/>
      <c r="C16" s="351"/>
      <c r="D16" s="351"/>
      <c r="E16" s="351"/>
      <c r="F16" s="351"/>
      <c r="G16" s="351"/>
      <c r="H16" s="351"/>
      <c r="I16" s="390">
        <f t="shared" si="0"/>
        <v>0</v>
      </c>
    </row>
    <row r="17" spans="1:9" ht="16" thickBot="1" x14ac:dyDescent="0.4">
      <c r="A17" s="383" t="s">
        <v>14</v>
      </c>
      <c r="B17" s="390">
        <f>SUM(B11:B16)</f>
        <v>0</v>
      </c>
      <c r="C17" s="390">
        <f t="shared" ref="C17:H17" si="1">SUM(C11:C16)</f>
        <v>51138</v>
      </c>
      <c r="D17" s="390">
        <f t="shared" si="1"/>
        <v>412</v>
      </c>
      <c r="E17" s="390">
        <f t="shared" si="1"/>
        <v>0</v>
      </c>
      <c r="F17" s="390">
        <f t="shared" si="1"/>
        <v>0</v>
      </c>
      <c r="G17" s="390">
        <f t="shared" si="1"/>
        <v>0</v>
      </c>
      <c r="H17" s="390">
        <f t="shared" si="1"/>
        <v>0</v>
      </c>
      <c r="I17" s="391">
        <f>SUM(B11:H16)</f>
        <v>51550</v>
      </c>
    </row>
    <row r="18" spans="1:9" x14ac:dyDescent="0.35">
      <c r="A18" s="372"/>
      <c r="B18" s="372"/>
      <c r="C18" s="372"/>
      <c r="D18" s="372"/>
      <c r="E18" s="372"/>
      <c r="F18" s="372"/>
      <c r="G18" s="372"/>
      <c r="H18" s="372"/>
      <c r="I18" s="372"/>
    </row>
    <row r="19" spans="1:9" x14ac:dyDescent="0.35">
      <c r="A19" s="373"/>
      <c r="B19" s="374" t="s">
        <v>18</v>
      </c>
      <c r="C19" s="374"/>
      <c r="D19" s="374"/>
      <c r="E19" s="374"/>
      <c r="F19" s="374"/>
      <c r="G19" s="374"/>
      <c r="H19" s="374"/>
      <c r="I19" s="374"/>
    </row>
    <row r="20" spans="1:9" ht="46.5" x14ac:dyDescent="0.35">
      <c r="A20" s="375" t="s">
        <v>476</v>
      </c>
      <c r="B20" s="376">
        <v>0</v>
      </c>
      <c r="C20" s="377" t="s">
        <v>477</v>
      </c>
      <c r="D20" s="377" t="s">
        <v>478</v>
      </c>
      <c r="E20" s="377" t="s">
        <v>470</v>
      </c>
      <c r="F20" s="377" t="s">
        <v>479</v>
      </c>
      <c r="G20" s="377" t="s">
        <v>480</v>
      </c>
      <c r="H20" s="377" t="s">
        <v>481</v>
      </c>
      <c r="I20" s="378" t="s">
        <v>473</v>
      </c>
    </row>
    <row r="21" spans="1:9" x14ac:dyDescent="0.35">
      <c r="A21" s="379" t="s">
        <v>474</v>
      </c>
      <c r="B21" s="380"/>
      <c r="C21" s="381"/>
      <c r="D21" s="381"/>
      <c r="E21" s="381"/>
      <c r="F21" s="381"/>
      <c r="G21" s="381"/>
      <c r="H21" s="381"/>
      <c r="I21" s="381"/>
    </row>
    <row r="22" spans="1:9" x14ac:dyDescent="0.35">
      <c r="A22" s="382" t="s">
        <v>29</v>
      </c>
      <c r="B22" s="351"/>
      <c r="C22" s="351"/>
      <c r="D22" s="351"/>
      <c r="E22" s="351"/>
      <c r="F22" s="351"/>
      <c r="G22" s="351"/>
      <c r="H22" s="351"/>
      <c r="I22" s="390">
        <f>SUM(B22:H22)</f>
        <v>0</v>
      </c>
    </row>
    <row r="23" spans="1:9" x14ac:dyDescent="0.35">
      <c r="A23" s="382" t="s">
        <v>27</v>
      </c>
      <c r="B23" s="351"/>
      <c r="C23" s="351">
        <v>30153</v>
      </c>
      <c r="D23" s="351">
        <v>21397</v>
      </c>
      <c r="E23" s="351"/>
      <c r="F23" s="351"/>
      <c r="G23" s="351"/>
      <c r="H23" s="351"/>
      <c r="I23" s="390">
        <f t="shared" ref="I23:I27" si="2">SUM(B23:H23)</f>
        <v>51550</v>
      </c>
    </row>
    <row r="24" spans="1:9" x14ac:dyDescent="0.35">
      <c r="A24" s="382" t="s">
        <v>30</v>
      </c>
      <c r="B24" s="351"/>
      <c r="C24" s="351"/>
      <c r="D24" s="351"/>
      <c r="E24" s="351"/>
      <c r="F24" s="351"/>
      <c r="G24" s="351"/>
      <c r="H24" s="351"/>
      <c r="I24" s="390">
        <f t="shared" si="2"/>
        <v>0</v>
      </c>
    </row>
    <row r="25" spans="1:9" x14ac:dyDescent="0.35">
      <c r="A25" s="382" t="s">
        <v>28</v>
      </c>
      <c r="B25" s="351"/>
      <c r="C25" s="351"/>
      <c r="D25" s="351"/>
      <c r="E25" s="351"/>
      <c r="F25" s="351"/>
      <c r="G25" s="351"/>
      <c r="H25" s="351"/>
      <c r="I25" s="390">
        <f t="shared" si="2"/>
        <v>0</v>
      </c>
    </row>
    <row r="26" spans="1:9" x14ac:dyDescent="0.35">
      <c r="A26" s="382" t="s">
        <v>32</v>
      </c>
      <c r="B26" s="351"/>
      <c r="C26" s="351"/>
      <c r="D26" s="351"/>
      <c r="E26" s="351"/>
      <c r="F26" s="351"/>
      <c r="G26" s="351"/>
      <c r="H26" s="351"/>
      <c r="I26" s="390">
        <f t="shared" si="2"/>
        <v>0</v>
      </c>
    </row>
    <row r="27" spans="1:9" ht="16" thickBot="1" x14ac:dyDescent="0.4">
      <c r="A27" s="382" t="s">
        <v>475</v>
      </c>
      <c r="B27" s="351"/>
      <c r="C27" s="351"/>
      <c r="D27" s="351"/>
      <c r="E27" s="351"/>
      <c r="F27" s="351"/>
      <c r="G27" s="351"/>
      <c r="H27" s="351"/>
      <c r="I27" s="390">
        <f t="shared" si="2"/>
        <v>0</v>
      </c>
    </row>
    <row r="28" spans="1:9" ht="16" thickBot="1" x14ac:dyDescent="0.4">
      <c r="A28" s="383" t="s">
        <v>14</v>
      </c>
      <c r="B28" s="390">
        <f>SUM(B22:B27)</f>
        <v>0</v>
      </c>
      <c r="C28" s="390">
        <f t="shared" ref="C28" si="3">SUM(C22:C27)</f>
        <v>30153</v>
      </c>
      <c r="D28" s="390">
        <f t="shared" ref="D28" si="4">SUM(D22:D27)</f>
        <v>21397</v>
      </c>
      <c r="E28" s="390">
        <f t="shared" ref="E28" si="5">SUM(E22:E27)</f>
        <v>0</v>
      </c>
      <c r="F28" s="390">
        <f t="shared" ref="F28" si="6">SUM(F22:F27)</f>
        <v>0</v>
      </c>
      <c r="G28" s="390">
        <f t="shared" ref="G28" si="7">SUM(G22:G27)</f>
        <v>0</v>
      </c>
      <c r="H28" s="390">
        <f t="shared" ref="H28" si="8">SUM(H22:H27)</f>
        <v>0</v>
      </c>
      <c r="I28" s="391">
        <f>SUM(B22:H27)</f>
        <v>51550</v>
      </c>
    </row>
    <row r="29" spans="1:9" x14ac:dyDescent="0.35">
      <c r="A29" s="372"/>
      <c r="B29" s="372"/>
      <c r="C29" s="372"/>
      <c r="D29" s="372"/>
      <c r="E29" s="372"/>
      <c r="F29" s="372"/>
      <c r="G29" s="372"/>
      <c r="H29" s="372"/>
      <c r="I29" s="372"/>
    </row>
    <row r="30" spans="1:9" x14ac:dyDescent="0.35">
      <c r="A30" s="373"/>
      <c r="B30" s="374" t="s">
        <v>18</v>
      </c>
      <c r="C30" s="374"/>
      <c r="D30" s="374"/>
      <c r="E30" s="374"/>
      <c r="F30" s="374"/>
      <c r="G30" s="374"/>
    </row>
    <row r="31" spans="1:9" ht="46.5" x14ac:dyDescent="0.35">
      <c r="A31" s="379" t="s">
        <v>482</v>
      </c>
      <c r="B31" s="384">
        <v>0</v>
      </c>
      <c r="C31" s="377" t="s">
        <v>483</v>
      </c>
      <c r="D31" s="384" t="s">
        <v>484</v>
      </c>
      <c r="E31" s="384" t="s">
        <v>485</v>
      </c>
      <c r="F31" s="384" t="s">
        <v>516</v>
      </c>
      <c r="G31" s="378" t="s">
        <v>473</v>
      </c>
    </row>
    <row r="32" spans="1:9" x14ac:dyDescent="0.35">
      <c r="A32" s="379" t="s">
        <v>474</v>
      </c>
      <c r="B32" s="380"/>
      <c r="C32" s="381"/>
      <c r="D32" s="381"/>
      <c r="E32" s="381"/>
      <c r="F32" s="381"/>
      <c r="G32" s="381"/>
    </row>
    <row r="33" spans="1:9" x14ac:dyDescent="0.35">
      <c r="A33" s="382" t="s">
        <v>29</v>
      </c>
      <c r="B33" s="351"/>
      <c r="C33" s="351"/>
      <c r="D33" s="351"/>
      <c r="E33" s="351"/>
      <c r="F33" s="351"/>
      <c r="G33" s="390">
        <f>SUM(B33:F33)</f>
        <v>0</v>
      </c>
    </row>
    <row r="34" spans="1:9" x14ac:dyDescent="0.35">
      <c r="A34" s="382" t="s">
        <v>27</v>
      </c>
      <c r="B34" s="351">
        <v>10159</v>
      </c>
      <c r="C34" s="351">
        <v>19067</v>
      </c>
      <c r="D34" s="351">
        <v>22324</v>
      </c>
      <c r="E34" s="351"/>
      <c r="F34" s="351"/>
      <c r="G34" s="390">
        <f t="shared" ref="G34:G38" si="9">SUM(B34:F34)</f>
        <v>51550</v>
      </c>
    </row>
    <row r="35" spans="1:9" x14ac:dyDescent="0.35">
      <c r="A35" s="382" t="s">
        <v>30</v>
      </c>
      <c r="B35" s="351"/>
      <c r="C35" s="351"/>
      <c r="D35" s="351"/>
      <c r="E35" s="351"/>
      <c r="F35" s="351"/>
      <c r="G35" s="390">
        <f t="shared" si="9"/>
        <v>0</v>
      </c>
    </row>
    <row r="36" spans="1:9" x14ac:dyDescent="0.35">
      <c r="A36" s="382" t="s">
        <v>28</v>
      </c>
      <c r="B36" s="351"/>
      <c r="C36" s="351"/>
      <c r="D36" s="351"/>
      <c r="E36" s="351"/>
      <c r="F36" s="351"/>
      <c r="G36" s="390">
        <f t="shared" si="9"/>
        <v>0</v>
      </c>
    </row>
    <row r="37" spans="1:9" x14ac:dyDescent="0.35">
      <c r="A37" s="382" t="s">
        <v>32</v>
      </c>
      <c r="B37" s="351"/>
      <c r="C37" s="351"/>
      <c r="D37" s="351"/>
      <c r="E37" s="351"/>
      <c r="F37" s="351"/>
      <c r="G37" s="390">
        <f t="shared" si="9"/>
        <v>0</v>
      </c>
    </row>
    <row r="38" spans="1:9" ht="16" thickBot="1" x14ac:dyDescent="0.4">
      <c r="A38" s="382" t="s">
        <v>475</v>
      </c>
      <c r="B38" s="351"/>
      <c r="C38" s="351"/>
      <c r="D38" s="351"/>
      <c r="E38" s="351"/>
      <c r="F38" s="351"/>
      <c r="G38" s="392">
        <f t="shared" si="9"/>
        <v>0</v>
      </c>
    </row>
    <row r="39" spans="1:9" ht="16" thickBot="1" x14ac:dyDescent="0.4">
      <c r="A39" s="383" t="s">
        <v>14</v>
      </c>
      <c r="B39" s="390">
        <f>SUM(B33:B38)</f>
        <v>10159</v>
      </c>
      <c r="C39" s="390">
        <f t="shared" ref="C39" si="10">SUM(C33:C38)</f>
        <v>19067</v>
      </c>
      <c r="D39" s="390">
        <f t="shared" ref="D39" si="11">SUM(D33:D38)</f>
        <v>22324</v>
      </c>
      <c r="E39" s="390">
        <f t="shared" ref="E39" si="12">SUM(E33:E38)</f>
        <v>0</v>
      </c>
      <c r="F39" s="393">
        <f t="shared" ref="F39" si="13">SUM(F33:F38)</f>
        <v>0</v>
      </c>
      <c r="G39" s="391">
        <f>SUM(B33:F38)</f>
        <v>51550</v>
      </c>
    </row>
    <row r="40" spans="1:9" x14ac:dyDescent="0.35">
      <c r="A40" s="372"/>
      <c r="B40" s="372"/>
      <c r="C40" s="372"/>
      <c r="D40" s="372"/>
      <c r="E40" s="372"/>
      <c r="F40" s="372"/>
      <c r="G40" s="372"/>
      <c r="I40" s="372"/>
    </row>
    <row r="41" spans="1:9" x14ac:dyDescent="0.35">
      <c r="A41" s="373"/>
      <c r="B41" s="374" t="s">
        <v>18</v>
      </c>
      <c r="C41" s="374"/>
      <c r="D41" s="374"/>
      <c r="E41" s="374"/>
      <c r="F41" s="374"/>
      <c r="G41" s="374"/>
      <c r="I41" s="372"/>
    </row>
    <row r="42" spans="1:9" ht="46.5" x14ac:dyDescent="0.35">
      <c r="A42" s="375" t="s">
        <v>515</v>
      </c>
      <c r="B42" s="384">
        <v>0</v>
      </c>
      <c r="C42" s="377" t="s">
        <v>483</v>
      </c>
      <c r="D42" s="384" t="s">
        <v>484</v>
      </c>
      <c r="E42" s="384" t="s">
        <v>485</v>
      </c>
      <c r="F42" s="384" t="s">
        <v>516</v>
      </c>
      <c r="G42" s="378" t="s">
        <v>473</v>
      </c>
    </row>
    <row r="43" spans="1:9" x14ac:dyDescent="0.35">
      <c r="A43" s="379" t="s">
        <v>474</v>
      </c>
      <c r="B43" s="380"/>
      <c r="C43" s="381"/>
      <c r="D43" s="381"/>
      <c r="E43" s="381"/>
      <c r="F43" s="381"/>
      <c r="G43" s="381"/>
    </row>
    <row r="44" spans="1:9" x14ac:dyDescent="0.35">
      <c r="A44" s="382" t="s">
        <v>29</v>
      </c>
      <c r="B44" s="351"/>
      <c r="C44" s="351"/>
      <c r="D44" s="351"/>
      <c r="E44" s="351"/>
      <c r="F44" s="351"/>
      <c r="G44" s="390">
        <f>SUM(B44:F44)</f>
        <v>0</v>
      </c>
    </row>
    <row r="45" spans="1:9" x14ac:dyDescent="0.35">
      <c r="A45" s="382" t="s">
        <v>27</v>
      </c>
      <c r="B45" s="351">
        <v>30068</v>
      </c>
      <c r="C45" s="351"/>
      <c r="D45" s="351">
        <v>21482</v>
      </c>
      <c r="E45" s="351"/>
      <c r="F45" s="351"/>
      <c r="G45" s="390">
        <f t="shared" ref="G45:G49" si="14">SUM(B45:F45)</f>
        <v>51550</v>
      </c>
    </row>
    <row r="46" spans="1:9" x14ac:dyDescent="0.35">
      <c r="A46" s="382" t="s">
        <v>30</v>
      </c>
      <c r="B46" s="351"/>
      <c r="C46" s="351"/>
      <c r="D46" s="351"/>
      <c r="E46" s="351"/>
      <c r="F46" s="351"/>
      <c r="G46" s="390">
        <f t="shared" si="14"/>
        <v>0</v>
      </c>
    </row>
    <row r="47" spans="1:9" x14ac:dyDescent="0.35">
      <c r="A47" s="382" t="s">
        <v>28</v>
      </c>
      <c r="B47" s="351"/>
      <c r="C47" s="351"/>
      <c r="D47" s="351"/>
      <c r="E47" s="351"/>
      <c r="F47" s="351"/>
      <c r="G47" s="390">
        <f t="shared" si="14"/>
        <v>0</v>
      </c>
    </row>
    <row r="48" spans="1:9" x14ac:dyDescent="0.35">
      <c r="A48" s="382" t="s">
        <v>32</v>
      </c>
      <c r="B48" s="351"/>
      <c r="C48" s="351"/>
      <c r="D48" s="351"/>
      <c r="E48" s="351"/>
      <c r="F48" s="351"/>
      <c r="G48" s="390">
        <f t="shared" si="14"/>
        <v>0</v>
      </c>
    </row>
    <row r="49" spans="1:9" ht="16" thickBot="1" x14ac:dyDescent="0.4">
      <c r="A49" s="382" t="s">
        <v>475</v>
      </c>
      <c r="B49" s="351"/>
      <c r="C49" s="351"/>
      <c r="D49" s="351"/>
      <c r="E49" s="351"/>
      <c r="F49" s="351"/>
      <c r="G49" s="392">
        <f t="shared" si="14"/>
        <v>0</v>
      </c>
    </row>
    <row r="50" spans="1:9" ht="16" thickBot="1" x14ac:dyDescent="0.4">
      <c r="A50" s="383" t="s">
        <v>14</v>
      </c>
      <c r="B50" s="390">
        <f>SUM(B44:B49)</f>
        <v>30068</v>
      </c>
      <c r="C50" s="390">
        <f t="shared" ref="C50" si="15">SUM(C44:C49)</f>
        <v>0</v>
      </c>
      <c r="D50" s="390">
        <f t="shared" ref="D50" si="16">SUM(D44:D49)</f>
        <v>21482</v>
      </c>
      <c r="E50" s="390">
        <f t="shared" ref="E50" si="17">SUM(E44:E49)</f>
        <v>0</v>
      </c>
      <c r="F50" s="393">
        <f t="shared" ref="F50" si="18">SUM(F44:F49)</f>
        <v>0</v>
      </c>
      <c r="G50" s="391">
        <f>SUM(B44:F49)</f>
        <v>51550</v>
      </c>
    </row>
    <row r="51" spans="1:9" x14ac:dyDescent="0.35">
      <c r="A51" s="372"/>
      <c r="B51" s="372"/>
      <c r="C51" s="372"/>
      <c r="D51" s="372"/>
      <c r="E51" s="372"/>
      <c r="F51" s="372"/>
      <c r="G51" s="372"/>
      <c r="H51" s="372"/>
      <c r="I51" s="372"/>
    </row>
    <row r="52" spans="1:9" x14ac:dyDescent="0.35">
      <c r="A52" s="373"/>
      <c r="B52" s="374" t="s">
        <v>18</v>
      </c>
      <c r="C52" s="374"/>
      <c r="D52" s="374"/>
      <c r="E52" s="374"/>
      <c r="F52" s="374"/>
      <c r="G52" s="374"/>
      <c r="H52" s="385"/>
    </row>
    <row r="53" spans="1:9" ht="46.5" x14ac:dyDescent="0.35">
      <c r="A53" s="375" t="s">
        <v>486</v>
      </c>
      <c r="B53" s="376">
        <v>0</v>
      </c>
      <c r="C53" s="377" t="s">
        <v>487</v>
      </c>
      <c r="D53" s="377" t="s">
        <v>488</v>
      </c>
      <c r="E53" s="377" t="s">
        <v>489</v>
      </c>
      <c r="F53" s="377" t="s">
        <v>490</v>
      </c>
      <c r="G53" s="377" t="s">
        <v>517</v>
      </c>
      <c r="H53" s="378" t="s">
        <v>473</v>
      </c>
    </row>
    <row r="54" spans="1:9" x14ac:dyDescent="0.35">
      <c r="A54" s="379" t="s">
        <v>474</v>
      </c>
      <c r="B54" s="380"/>
      <c r="C54" s="380"/>
      <c r="D54" s="380"/>
      <c r="E54" s="380"/>
      <c r="F54" s="380"/>
      <c r="G54" s="380"/>
      <c r="H54" s="380"/>
    </row>
    <row r="55" spans="1:9" x14ac:dyDescent="0.35">
      <c r="A55" s="382" t="s">
        <v>29</v>
      </c>
      <c r="B55" s="351"/>
      <c r="C55" s="351"/>
      <c r="D55" s="351"/>
      <c r="E55" s="351"/>
      <c r="F55" s="351"/>
      <c r="G55" s="351"/>
      <c r="H55" s="390">
        <f>SUM(B55:G55)</f>
        <v>0</v>
      </c>
    </row>
    <row r="56" spans="1:9" x14ac:dyDescent="0.35">
      <c r="A56" s="382" t="s">
        <v>27</v>
      </c>
      <c r="B56" s="351">
        <v>46</v>
      </c>
      <c r="C56" s="351">
        <v>171</v>
      </c>
      <c r="D56" s="351">
        <v>41089</v>
      </c>
      <c r="E56" s="351">
        <v>85</v>
      </c>
      <c r="F56" s="351">
        <v>10159</v>
      </c>
      <c r="G56" s="351"/>
      <c r="H56" s="390">
        <f t="shared" ref="H56:H60" si="19">SUM(B56:G56)</f>
        <v>51550</v>
      </c>
    </row>
    <row r="57" spans="1:9" x14ac:dyDescent="0.35">
      <c r="A57" s="382" t="s">
        <v>30</v>
      </c>
      <c r="B57" s="351"/>
      <c r="C57" s="351"/>
      <c r="D57" s="351"/>
      <c r="E57" s="351"/>
      <c r="F57" s="351"/>
      <c r="G57" s="351"/>
      <c r="H57" s="390">
        <f t="shared" si="19"/>
        <v>0</v>
      </c>
    </row>
    <row r="58" spans="1:9" x14ac:dyDescent="0.35">
      <c r="A58" s="382" t="s">
        <v>28</v>
      </c>
      <c r="B58" s="351"/>
      <c r="C58" s="351"/>
      <c r="D58" s="351"/>
      <c r="E58" s="351"/>
      <c r="F58" s="351"/>
      <c r="G58" s="351"/>
      <c r="H58" s="390">
        <f t="shared" si="19"/>
        <v>0</v>
      </c>
    </row>
    <row r="59" spans="1:9" x14ac:dyDescent="0.35">
      <c r="A59" s="382" t="s">
        <v>32</v>
      </c>
      <c r="B59" s="351"/>
      <c r="C59" s="351"/>
      <c r="D59" s="351"/>
      <c r="E59" s="351"/>
      <c r="F59" s="351"/>
      <c r="G59" s="351"/>
      <c r="H59" s="390">
        <f t="shared" si="19"/>
        <v>0</v>
      </c>
    </row>
    <row r="60" spans="1:9" ht="16" thickBot="1" x14ac:dyDescent="0.4">
      <c r="A60" s="382" t="s">
        <v>475</v>
      </c>
      <c r="B60" s="351"/>
      <c r="C60" s="351"/>
      <c r="D60" s="351"/>
      <c r="E60" s="351"/>
      <c r="F60" s="351"/>
      <c r="G60" s="351"/>
      <c r="H60" s="392">
        <f t="shared" si="19"/>
        <v>0</v>
      </c>
    </row>
    <row r="61" spans="1:9" ht="16" thickBot="1" x14ac:dyDescent="0.4">
      <c r="A61" s="383" t="s">
        <v>14</v>
      </c>
      <c r="B61" s="390">
        <f>SUM(B55:B60)</f>
        <v>46</v>
      </c>
      <c r="C61" s="390">
        <f t="shared" ref="C61:G61" si="20">SUM(C55:C60)</f>
        <v>171</v>
      </c>
      <c r="D61" s="390">
        <f t="shared" si="20"/>
        <v>41089</v>
      </c>
      <c r="E61" s="390">
        <f t="shared" si="20"/>
        <v>85</v>
      </c>
      <c r="F61" s="390">
        <f t="shared" si="20"/>
        <v>10159</v>
      </c>
      <c r="G61" s="393">
        <f t="shared" si="20"/>
        <v>0</v>
      </c>
      <c r="H61" s="391">
        <f>SUM(B55:G60)</f>
        <v>51550</v>
      </c>
    </row>
    <row r="62" spans="1:9" ht="16.5" customHeight="1" x14ac:dyDescent="0.35">
      <c r="A62" s="386"/>
      <c r="B62" s="387"/>
      <c r="C62" s="387"/>
      <c r="D62" s="387"/>
      <c r="E62" s="387"/>
      <c r="F62" s="387"/>
      <c r="G62" s="387"/>
      <c r="H62" s="387"/>
    </row>
    <row r="63" spans="1:9" x14ac:dyDescent="0.35">
      <c r="A63" s="373"/>
      <c r="B63" s="374" t="s">
        <v>18</v>
      </c>
      <c r="C63" s="374"/>
      <c r="D63" s="374"/>
      <c r="E63" s="374"/>
      <c r="F63" s="374"/>
      <c r="G63" s="374"/>
      <c r="H63" s="385"/>
    </row>
    <row r="64" spans="1:9" ht="46.5" x14ac:dyDescent="0.35">
      <c r="A64" s="375" t="s">
        <v>491</v>
      </c>
      <c r="B64" s="376">
        <v>0</v>
      </c>
      <c r="C64" s="377" t="s">
        <v>492</v>
      </c>
      <c r="D64" s="377" t="s">
        <v>493</v>
      </c>
      <c r="E64" s="377" t="s">
        <v>494</v>
      </c>
      <c r="F64" s="377" t="s">
        <v>495</v>
      </c>
      <c r="G64" s="377" t="s">
        <v>518</v>
      </c>
      <c r="H64" s="378" t="s">
        <v>473</v>
      </c>
    </row>
    <row r="65" spans="1:8" x14ac:dyDescent="0.35">
      <c r="A65" s="379" t="s">
        <v>474</v>
      </c>
      <c r="B65" s="380"/>
      <c r="C65" s="380"/>
      <c r="D65" s="380"/>
      <c r="E65" s="380"/>
      <c r="F65" s="380"/>
      <c r="G65" s="380"/>
      <c r="H65" s="380"/>
    </row>
    <row r="66" spans="1:8" x14ac:dyDescent="0.35">
      <c r="A66" s="382" t="s">
        <v>29</v>
      </c>
      <c r="B66" s="351"/>
      <c r="C66" s="351"/>
      <c r="D66" s="351"/>
      <c r="E66" s="351"/>
      <c r="F66" s="351"/>
      <c r="G66" s="351"/>
      <c r="H66" s="390">
        <f>SUM(B66:G66)</f>
        <v>0</v>
      </c>
    </row>
    <row r="67" spans="1:8" x14ac:dyDescent="0.35">
      <c r="A67" s="382" t="s">
        <v>27</v>
      </c>
      <c r="B67" s="351">
        <v>46</v>
      </c>
      <c r="C67" s="351">
        <v>171</v>
      </c>
      <c r="D67" s="351">
        <v>41089</v>
      </c>
      <c r="E67" s="351">
        <v>85</v>
      </c>
      <c r="F67" s="351">
        <v>10159</v>
      </c>
      <c r="G67" s="351"/>
      <c r="H67" s="390">
        <f t="shared" ref="H67:H71" si="21">SUM(B67:G67)</f>
        <v>51550</v>
      </c>
    </row>
    <row r="68" spans="1:8" x14ac:dyDescent="0.35">
      <c r="A68" s="382" t="s">
        <v>30</v>
      </c>
      <c r="B68" s="351"/>
      <c r="C68" s="351"/>
      <c r="D68" s="351"/>
      <c r="E68" s="351"/>
      <c r="F68" s="351"/>
      <c r="G68" s="351"/>
      <c r="H68" s="390">
        <f t="shared" si="21"/>
        <v>0</v>
      </c>
    </row>
    <row r="69" spans="1:8" x14ac:dyDescent="0.35">
      <c r="A69" s="382" t="s">
        <v>28</v>
      </c>
      <c r="B69" s="351"/>
      <c r="C69" s="351"/>
      <c r="D69" s="351"/>
      <c r="E69" s="351"/>
      <c r="F69" s="351"/>
      <c r="G69" s="351"/>
      <c r="H69" s="390">
        <f t="shared" si="21"/>
        <v>0</v>
      </c>
    </row>
    <row r="70" spans="1:8" x14ac:dyDescent="0.35">
      <c r="A70" s="382" t="s">
        <v>32</v>
      </c>
      <c r="B70" s="351"/>
      <c r="C70" s="351"/>
      <c r="D70" s="351"/>
      <c r="E70" s="351"/>
      <c r="F70" s="351"/>
      <c r="G70" s="351"/>
      <c r="H70" s="390">
        <f t="shared" si="21"/>
        <v>0</v>
      </c>
    </row>
    <row r="71" spans="1:8" ht="16" thickBot="1" x14ac:dyDescent="0.4">
      <c r="A71" s="382" t="s">
        <v>475</v>
      </c>
      <c r="B71" s="351"/>
      <c r="C71" s="351"/>
      <c r="D71" s="351"/>
      <c r="E71" s="351"/>
      <c r="F71" s="351"/>
      <c r="G71" s="351"/>
      <c r="H71" s="392">
        <f t="shared" si="21"/>
        <v>0</v>
      </c>
    </row>
    <row r="72" spans="1:8" ht="16" thickBot="1" x14ac:dyDescent="0.4">
      <c r="A72" s="383" t="s">
        <v>14</v>
      </c>
      <c r="B72" s="390">
        <f>SUM(B66:B71)</f>
        <v>46</v>
      </c>
      <c r="C72" s="390">
        <f t="shared" ref="C72" si="22">SUM(C66:C71)</f>
        <v>171</v>
      </c>
      <c r="D72" s="390">
        <f t="shared" ref="D72" si="23">SUM(D66:D71)</f>
        <v>41089</v>
      </c>
      <c r="E72" s="390">
        <f t="shared" ref="E72" si="24">SUM(E66:E71)</f>
        <v>85</v>
      </c>
      <c r="F72" s="390">
        <f t="shared" ref="F72" si="25">SUM(F66:F71)</f>
        <v>10159</v>
      </c>
      <c r="G72" s="393">
        <f t="shared" ref="G72" si="26">SUM(G66:G71)</f>
        <v>0</v>
      </c>
      <c r="H72" s="391">
        <f>SUM(B66:G71)</f>
        <v>51550</v>
      </c>
    </row>
    <row r="73" spans="1:8" x14ac:dyDescent="0.35">
      <c r="A73" s="372"/>
      <c r="B73" s="372"/>
      <c r="C73" s="372"/>
      <c r="D73" s="372"/>
      <c r="E73" s="372"/>
      <c r="F73" s="372"/>
      <c r="G73" s="372"/>
      <c r="H73" s="372"/>
    </row>
    <row r="74" spans="1:8" x14ac:dyDescent="0.35">
      <c r="A74" s="373"/>
      <c r="B74" s="374" t="s">
        <v>18</v>
      </c>
      <c r="C74" s="374"/>
      <c r="D74" s="374"/>
      <c r="E74" s="374"/>
      <c r="F74" s="374"/>
      <c r="G74" s="374"/>
      <c r="H74" s="385"/>
    </row>
    <row r="75" spans="1:8" ht="46.5" x14ac:dyDescent="0.35">
      <c r="A75" s="375" t="s">
        <v>496</v>
      </c>
      <c r="B75" s="375" t="s">
        <v>497</v>
      </c>
      <c r="C75" s="375" t="s">
        <v>493</v>
      </c>
      <c r="D75" s="388" t="s">
        <v>494</v>
      </c>
      <c r="E75" s="388" t="s">
        <v>498</v>
      </c>
      <c r="F75" s="375" t="s">
        <v>499</v>
      </c>
      <c r="G75" s="375" t="s">
        <v>519</v>
      </c>
      <c r="H75" s="378" t="s">
        <v>473</v>
      </c>
    </row>
    <row r="76" spans="1:8" x14ac:dyDescent="0.35">
      <c r="A76" s="379" t="s">
        <v>474</v>
      </c>
      <c r="B76" s="380"/>
      <c r="C76" s="380"/>
      <c r="D76" s="380"/>
      <c r="E76" s="380"/>
      <c r="F76" s="380"/>
      <c r="G76" s="380"/>
      <c r="H76" s="380"/>
    </row>
    <row r="77" spans="1:8" x14ac:dyDescent="0.35">
      <c r="A77" s="382" t="s">
        <v>29</v>
      </c>
      <c r="B77" s="351"/>
      <c r="C77" s="351"/>
      <c r="D77" s="351"/>
      <c r="E77" s="351"/>
      <c r="F77" s="351"/>
      <c r="G77" s="351"/>
      <c r="H77" s="390">
        <f>SUM(B77:G77)</f>
        <v>0</v>
      </c>
    </row>
    <row r="78" spans="1:8" x14ac:dyDescent="0.35">
      <c r="A78" s="382" t="s">
        <v>27</v>
      </c>
      <c r="B78" s="351"/>
      <c r="C78" s="351">
        <v>19479</v>
      </c>
      <c r="D78" s="351">
        <v>31556</v>
      </c>
      <c r="E78" s="351">
        <v>515</v>
      </c>
      <c r="F78" s="351"/>
      <c r="G78" s="351"/>
      <c r="H78" s="390">
        <f t="shared" ref="H78:H82" si="27">SUM(B78:G78)</f>
        <v>51550</v>
      </c>
    </row>
    <row r="79" spans="1:8" x14ac:dyDescent="0.35">
      <c r="A79" s="382" t="s">
        <v>30</v>
      </c>
      <c r="B79" s="351"/>
      <c r="C79" s="351"/>
      <c r="D79" s="351"/>
      <c r="E79" s="351"/>
      <c r="F79" s="351"/>
      <c r="G79" s="351"/>
      <c r="H79" s="390">
        <f t="shared" si="27"/>
        <v>0</v>
      </c>
    </row>
    <row r="80" spans="1:8" x14ac:dyDescent="0.35">
      <c r="A80" s="382" t="s">
        <v>28</v>
      </c>
      <c r="B80" s="351"/>
      <c r="C80" s="351"/>
      <c r="D80" s="351"/>
      <c r="E80" s="351"/>
      <c r="F80" s="351"/>
      <c r="G80" s="351"/>
      <c r="H80" s="390">
        <f t="shared" si="27"/>
        <v>0</v>
      </c>
    </row>
    <row r="81" spans="1:8" x14ac:dyDescent="0.35">
      <c r="A81" s="382" t="s">
        <v>32</v>
      </c>
      <c r="B81" s="351"/>
      <c r="C81" s="351"/>
      <c r="D81" s="351"/>
      <c r="E81" s="351"/>
      <c r="F81" s="351"/>
      <c r="G81" s="351"/>
      <c r="H81" s="390">
        <f t="shared" si="27"/>
        <v>0</v>
      </c>
    </row>
    <row r="82" spans="1:8" ht="16" thickBot="1" x14ac:dyDescent="0.4">
      <c r="A82" s="382" t="s">
        <v>475</v>
      </c>
      <c r="B82" s="351"/>
      <c r="C82" s="351"/>
      <c r="D82" s="351"/>
      <c r="E82" s="351"/>
      <c r="F82" s="351"/>
      <c r="G82" s="351"/>
      <c r="H82" s="392">
        <f t="shared" si="27"/>
        <v>0</v>
      </c>
    </row>
    <row r="83" spans="1:8" ht="16" thickBot="1" x14ac:dyDescent="0.4">
      <c r="A83" s="383" t="s">
        <v>14</v>
      </c>
      <c r="B83" s="390">
        <f>SUM(B77:B82)</f>
        <v>0</v>
      </c>
      <c r="C83" s="390">
        <f t="shared" ref="C83" si="28">SUM(C77:C82)</f>
        <v>19479</v>
      </c>
      <c r="D83" s="390">
        <f t="shared" ref="D83" si="29">SUM(D77:D82)</f>
        <v>31556</v>
      </c>
      <c r="E83" s="390">
        <f t="shared" ref="E83" si="30">SUM(E77:E82)</f>
        <v>515</v>
      </c>
      <c r="F83" s="390">
        <f t="shared" ref="F83" si="31">SUM(F77:F82)</f>
        <v>0</v>
      </c>
      <c r="G83" s="393">
        <f t="shared" ref="G83" si="32">SUM(G77:G82)</f>
        <v>0</v>
      </c>
      <c r="H83" s="391">
        <f>SUM(B77:G82)</f>
        <v>51550</v>
      </c>
    </row>
    <row r="84" spans="1:8" x14ac:dyDescent="0.35">
      <c r="A84" s="372"/>
      <c r="B84" s="372"/>
      <c r="C84" s="372"/>
      <c r="D84" s="372"/>
      <c r="E84" s="372"/>
      <c r="F84" s="372"/>
      <c r="G84" s="372"/>
      <c r="H84" s="372"/>
    </row>
    <row r="85" spans="1:8" x14ac:dyDescent="0.35">
      <c r="A85" s="373"/>
      <c r="B85" s="374" t="s">
        <v>18</v>
      </c>
      <c r="C85" s="374"/>
      <c r="D85" s="374"/>
      <c r="E85" s="374"/>
      <c r="F85" s="374"/>
      <c r="G85" s="374"/>
      <c r="H85" s="385"/>
    </row>
    <row r="86" spans="1:8" ht="46.5" x14ac:dyDescent="0.35">
      <c r="A86" s="375" t="s">
        <v>500</v>
      </c>
      <c r="B86" s="377" t="s">
        <v>501</v>
      </c>
      <c r="C86" s="377" t="s">
        <v>502</v>
      </c>
      <c r="D86" s="377" t="s">
        <v>503</v>
      </c>
      <c r="E86" s="377" t="s">
        <v>504</v>
      </c>
      <c r="F86" s="377" t="s">
        <v>505</v>
      </c>
      <c r="G86" s="377" t="s">
        <v>481</v>
      </c>
      <c r="H86" s="378" t="s">
        <v>473</v>
      </c>
    </row>
    <row r="87" spans="1:8" x14ac:dyDescent="0.35">
      <c r="A87" s="379" t="s">
        <v>474</v>
      </c>
      <c r="B87" s="380"/>
      <c r="C87" s="380"/>
      <c r="D87" s="380"/>
      <c r="E87" s="380"/>
      <c r="F87" s="380"/>
      <c r="G87" s="380"/>
      <c r="H87" s="380"/>
    </row>
    <row r="88" spans="1:8" x14ac:dyDescent="0.35">
      <c r="A88" s="382" t="s">
        <v>29</v>
      </c>
      <c r="B88" s="351"/>
      <c r="C88" s="351"/>
      <c r="D88" s="351"/>
      <c r="E88" s="351"/>
      <c r="F88" s="351"/>
      <c r="G88" s="351"/>
      <c r="H88" s="390">
        <f>SUM(B88:G88)</f>
        <v>0</v>
      </c>
    </row>
    <row r="89" spans="1:8" x14ac:dyDescent="0.35">
      <c r="A89" s="382" t="s">
        <v>27</v>
      </c>
      <c r="B89" s="351"/>
      <c r="C89" s="351">
        <v>171</v>
      </c>
      <c r="D89" s="351">
        <v>10159</v>
      </c>
      <c r="E89" s="351">
        <v>18896</v>
      </c>
      <c r="F89" s="351">
        <v>21809</v>
      </c>
      <c r="G89" s="351">
        <v>515</v>
      </c>
      <c r="H89" s="390">
        <f t="shared" ref="H89:H93" si="33">SUM(B89:G89)</f>
        <v>51550</v>
      </c>
    </row>
    <row r="90" spans="1:8" x14ac:dyDescent="0.35">
      <c r="A90" s="382" t="s">
        <v>30</v>
      </c>
      <c r="B90" s="351"/>
      <c r="C90" s="351"/>
      <c r="D90" s="351"/>
      <c r="E90" s="351"/>
      <c r="F90" s="351"/>
      <c r="G90" s="351"/>
      <c r="H90" s="390">
        <f t="shared" si="33"/>
        <v>0</v>
      </c>
    </row>
    <row r="91" spans="1:8" x14ac:dyDescent="0.35">
      <c r="A91" s="382" t="s">
        <v>28</v>
      </c>
      <c r="B91" s="351"/>
      <c r="C91" s="351"/>
      <c r="D91" s="351"/>
      <c r="E91" s="351"/>
      <c r="F91" s="351"/>
      <c r="G91" s="351"/>
      <c r="H91" s="390">
        <f t="shared" si="33"/>
        <v>0</v>
      </c>
    </row>
    <row r="92" spans="1:8" x14ac:dyDescent="0.35">
      <c r="A92" s="382" t="s">
        <v>32</v>
      </c>
      <c r="B92" s="351"/>
      <c r="C92" s="351"/>
      <c r="D92" s="351"/>
      <c r="E92" s="351"/>
      <c r="F92" s="351"/>
      <c r="G92" s="351"/>
      <c r="H92" s="390">
        <f t="shared" si="33"/>
        <v>0</v>
      </c>
    </row>
    <row r="93" spans="1:8" ht="16" thickBot="1" x14ac:dyDescent="0.4">
      <c r="A93" s="382" t="s">
        <v>475</v>
      </c>
      <c r="B93" s="351"/>
      <c r="C93" s="351"/>
      <c r="D93" s="351"/>
      <c r="E93" s="351"/>
      <c r="F93" s="351"/>
      <c r="G93" s="351"/>
      <c r="H93" s="392">
        <f t="shared" si="33"/>
        <v>0</v>
      </c>
    </row>
    <row r="94" spans="1:8" ht="16" thickBot="1" x14ac:dyDescent="0.4">
      <c r="A94" s="383" t="s">
        <v>14</v>
      </c>
      <c r="B94" s="390">
        <f>SUM(B88:B93)</f>
        <v>0</v>
      </c>
      <c r="C94" s="390">
        <f t="shared" ref="C94" si="34">SUM(C88:C93)</f>
        <v>171</v>
      </c>
      <c r="D94" s="390">
        <f t="shared" ref="D94" si="35">SUM(D88:D93)</f>
        <v>10159</v>
      </c>
      <c r="E94" s="390">
        <f t="shared" ref="E94" si="36">SUM(E88:E93)</f>
        <v>18896</v>
      </c>
      <c r="F94" s="390">
        <f t="shared" ref="F94" si="37">SUM(F88:F93)</f>
        <v>21809</v>
      </c>
      <c r="G94" s="393">
        <f t="shared" ref="G94" si="38">SUM(G88:G93)</f>
        <v>515</v>
      </c>
      <c r="H94" s="391">
        <f>SUM(B88:G93)</f>
        <v>51550</v>
      </c>
    </row>
    <row r="95" spans="1:8" x14ac:dyDescent="0.35">
      <c r="A95" s="372"/>
      <c r="B95" s="372"/>
      <c r="C95" s="372"/>
      <c r="D95" s="372"/>
      <c r="E95" s="372"/>
      <c r="F95" s="372"/>
      <c r="G95" s="372"/>
      <c r="H95" s="372"/>
    </row>
    <row r="96" spans="1:8" x14ac:dyDescent="0.35">
      <c r="A96" s="373"/>
      <c r="B96" s="374" t="s">
        <v>18</v>
      </c>
      <c r="C96" s="374"/>
      <c r="D96" s="374"/>
      <c r="E96" s="374"/>
      <c r="F96" s="374"/>
      <c r="G96" s="374"/>
    </row>
    <row r="97" spans="1:7" ht="46.5" x14ac:dyDescent="0.35">
      <c r="A97" s="389" t="s">
        <v>506</v>
      </c>
      <c r="B97" s="377" t="s">
        <v>507</v>
      </c>
      <c r="C97" s="377" t="s">
        <v>508</v>
      </c>
      <c r="D97" s="377" t="s">
        <v>509</v>
      </c>
      <c r="E97" s="377" t="s">
        <v>510</v>
      </c>
      <c r="F97" s="377" t="s">
        <v>511</v>
      </c>
      <c r="G97" s="378" t="s">
        <v>473</v>
      </c>
    </row>
    <row r="98" spans="1:7" x14ac:dyDescent="0.35">
      <c r="A98" s="379" t="s">
        <v>474</v>
      </c>
      <c r="B98" s="380"/>
      <c r="C98" s="380"/>
      <c r="D98" s="380"/>
      <c r="E98" s="380"/>
      <c r="F98" s="380"/>
      <c r="G98" s="380"/>
    </row>
    <row r="99" spans="1:7" x14ac:dyDescent="0.35">
      <c r="A99" s="382" t="s">
        <v>29</v>
      </c>
      <c r="B99" s="351"/>
      <c r="C99" s="351"/>
      <c r="D99" s="351"/>
      <c r="E99" s="351"/>
      <c r="F99" s="351"/>
      <c r="G99" s="390">
        <f>SUM(B99:F99)</f>
        <v>0</v>
      </c>
    </row>
    <row r="100" spans="1:7" x14ac:dyDescent="0.35">
      <c r="A100" s="382" t="s">
        <v>27</v>
      </c>
      <c r="B100" s="351"/>
      <c r="C100" s="351">
        <v>171</v>
      </c>
      <c r="D100" s="351">
        <v>29055</v>
      </c>
      <c r="E100" s="351">
        <v>22239</v>
      </c>
      <c r="F100" s="351">
        <v>85</v>
      </c>
      <c r="G100" s="390">
        <f t="shared" ref="G100:G104" si="39">SUM(B100:F100)</f>
        <v>51550</v>
      </c>
    </row>
    <row r="101" spans="1:7" x14ac:dyDescent="0.35">
      <c r="A101" s="382" t="s">
        <v>30</v>
      </c>
      <c r="B101" s="351"/>
      <c r="C101" s="351"/>
      <c r="D101" s="351"/>
      <c r="E101" s="351"/>
      <c r="F101" s="351"/>
      <c r="G101" s="390">
        <f t="shared" si="39"/>
        <v>0</v>
      </c>
    </row>
    <row r="102" spans="1:7" x14ac:dyDescent="0.35">
      <c r="A102" s="382" t="s">
        <v>28</v>
      </c>
      <c r="B102" s="351"/>
      <c r="C102" s="351"/>
      <c r="D102" s="351"/>
      <c r="E102" s="351"/>
      <c r="F102" s="351"/>
      <c r="G102" s="390">
        <f t="shared" si="39"/>
        <v>0</v>
      </c>
    </row>
    <row r="103" spans="1:7" x14ac:dyDescent="0.35">
      <c r="A103" s="382" t="s">
        <v>32</v>
      </c>
      <c r="B103" s="351"/>
      <c r="C103" s="351"/>
      <c r="D103" s="351"/>
      <c r="E103" s="351"/>
      <c r="F103" s="351"/>
      <c r="G103" s="390">
        <f t="shared" si="39"/>
        <v>0</v>
      </c>
    </row>
    <row r="104" spans="1:7" ht="16" thickBot="1" x14ac:dyDescent="0.4">
      <c r="A104" s="382" t="s">
        <v>475</v>
      </c>
      <c r="B104" s="351"/>
      <c r="C104" s="351"/>
      <c r="D104" s="351"/>
      <c r="E104" s="351"/>
      <c r="F104" s="351"/>
      <c r="G104" s="392">
        <f t="shared" si="39"/>
        <v>0</v>
      </c>
    </row>
    <row r="105" spans="1:7" ht="16" thickBot="1" x14ac:dyDescent="0.4">
      <c r="A105" s="383" t="s">
        <v>14</v>
      </c>
      <c r="B105" s="390">
        <f>SUM(B99:B104)</f>
        <v>0</v>
      </c>
      <c r="C105" s="390">
        <f t="shared" ref="C105" si="40">SUM(C99:C104)</f>
        <v>171</v>
      </c>
      <c r="D105" s="390">
        <f t="shared" ref="D105" si="41">SUM(D99:D104)</f>
        <v>29055</v>
      </c>
      <c r="E105" s="390">
        <f t="shared" ref="E105" si="42">SUM(E99:E104)</f>
        <v>22239</v>
      </c>
      <c r="F105" s="393">
        <f t="shared" ref="F105" si="43">SUM(F99:F104)</f>
        <v>85</v>
      </c>
      <c r="G105" s="391">
        <f>SUM(B99:F104)</f>
        <v>51550</v>
      </c>
    </row>
  </sheetData>
  <sheetProtection algorithmName="SHA-512" hashValue="tNGvtuRaNOBJXrGbMeDolTZlAQW551wU5ShpsWx1HO7/hy7d470mUbvZL6K9XJopeIvutl8JJDn5KNHWr2425Q==" saltValue="70hdfmh7hWQHFPwEQ/Qtjw==" spinCount="100000" sheet="1" objects="1" scenarios="1"/>
  <pageMargins left="0.7" right="0.7" top="0.75" bottom="0.75" header="0.3" footer="0.3"/>
  <pageSetup orientation="portrait" horizontalDpi="1200" verticalDpi="1200" r:id="rId1"/>
  <headerFooter>
    <oddFooter>&amp;L&amp;A
Version Date: June 2, 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5</vt:i4>
      </vt:variant>
    </vt:vector>
  </HeadingPairs>
  <TitlesOfParts>
    <vt:vector size="32" baseType="lpstr">
      <vt:lpstr>Cover-Input Page </vt:lpstr>
      <vt:lpstr>LGARD Report===&gt;&gt;&gt;</vt:lpstr>
      <vt:lpstr>LGARD-#3-#6 RateChanges</vt:lpstr>
      <vt:lpstr>LGARD-#7-ProductsSold</vt:lpstr>
      <vt:lpstr>LGARD-#8-BaseRateFactors</vt:lpstr>
      <vt:lpstr>LGARD-#9-#10-TrendFactors</vt:lpstr>
      <vt:lpstr>LGARD-#11-HistData</vt:lpstr>
      <vt:lpstr>LGARD-#12a-EECostSharing</vt:lpstr>
      <vt:lpstr>LGARD-#12b-EECostSharing</vt:lpstr>
      <vt:lpstr>LGARD-#13-EEBenefitChanges</vt:lpstr>
      <vt:lpstr>LGARD-#14-CCQIEfforts</vt:lpstr>
      <vt:lpstr>LGARD-#15-ExciseTaxes</vt:lpstr>
      <vt:lpstr>LGARD-#16-LGRxReport</vt:lpstr>
      <vt:lpstr>LGARD-#17-OtherComments</vt:lpstr>
      <vt:lpstr>LGARD-#18-AdditionalInfo</vt:lpstr>
      <vt:lpstr>LGHistData Report ===&gt;&gt;&gt;</vt:lpstr>
      <vt:lpstr>LGHistData-HMO</vt:lpstr>
      <vt:lpstr>LGHistData-PPO</vt:lpstr>
      <vt:lpstr>LGHistData-Summary</vt:lpstr>
      <vt:lpstr>LGPDCD===&gt;&gt;&gt;</vt:lpstr>
      <vt:lpstr>LGPDCD-PharmPctPrem</vt:lpstr>
      <vt:lpstr>LGPDCD-YoYTotalPlanSpnd</vt:lpstr>
      <vt:lpstr>LGPDCD-YoYcompofPrem</vt:lpstr>
      <vt:lpstr>LGPDCD-SpecTierForm</vt:lpstr>
      <vt:lpstr>LGPDCD-PharmDocOff</vt:lpstr>
      <vt:lpstr>LGPDCD-PharmBenMgr</vt:lpstr>
      <vt:lpstr>LGPDCD-RxGlossary</vt:lpstr>
      <vt:lpstr>'Cover-Input Page '!Print_Area</vt:lpstr>
      <vt:lpstr>'LGPDCD-PharmBenMgr'!Print_Area</vt:lpstr>
      <vt:lpstr>'LGPDCD-PharmPctPrem'!Print_Area</vt:lpstr>
      <vt:lpstr>'LGPDCD-YoYcompofPrem'!Print_Area</vt:lpstr>
      <vt:lpstr>'LGPDCD-PharmBenMgr'!Print_Titles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 Michael@DMHC</dc:creator>
  <cp:lastModifiedBy>Brad Ober</cp:lastModifiedBy>
  <cp:lastPrinted>2025-06-05T20:20:43Z</cp:lastPrinted>
  <dcterms:created xsi:type="dcterms:W3CDTF">2023-01-19T22:31:27Z</dcterms:created>
  <dcterms:modified xsi:type="dcterms:W3CDTF">2025-10-30T17:47:58Z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67599526-06ca-49cc-9fa9-5307800a949a_Enabled">
    <vt:lpwstr>true</vt:lpwstr>
  </property>
  <property fmtid="{D5CDD505-2E9C-101B-9397-08002B2CF9AE}" pid="5" name="MSIP_Label_67599526-06ca-49cc-9fa9-5307800a949a_SetDate">
    <vt:lpwstr>2023-07-07T15:32:31Z</vt:lpwstr>
  </property>
  <property fmtid="{D5CDD505-2E9C-101B-9397-08002B2CF9AE}" pid="6" name="MSIP_Label_67599526-06ca-49cc-9fa9-5307800a949a_Method">
    <vt:lpwstr>Standard</vt:lpwstr>
  </property>
  <property fmtid="{D5CDD505-2E9C-101B-9397-08002B2CF9AE}" pid="7" name="MSIP_Label_67599526-06ca-49cc-9fa9-5307800a949a_Name">
    <vt:lpwstr>67599526-06ca-49cc-9fa9-5307800a949a</vt:lpwstr>
  </property>
  <property fmtid="{D5CDD505-2E9C-101B-9397-08002B2CF9AE}" pid="8" name="MSIP_Label_67599526-06ca-49cc-9fa9-5307800a949a_SiteId">
    <vt:lpwstr>fabb61b8-3afe-4e75-b934-a47f782b8cd7</vt:lpwstr>
  </property>
  <property fmtid="{D5CDD505-2E9C-101B-9397-08002B2CF9AE}" pid="9" name="MSIP_Label_67599526-06ca-49cc-9fa9-5307800a949a_ActionId">
    <vt:lpwstr>e1819883-d1c8-4736-8474-0026abb41c3c</vt:lpwstr>
  </property>
  <property fmtid="{D5CDD505-2E9C-101B-9397-08002B2CF9AE}" pid="10" name="MSIP_Label_67599526-06ca-49cc-9fa9-5307800a949a_ContentBits">
    <vt:lpwstr>0</vt:lpwstr>
  </property>
</Properties>
</file>