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0E6D6BE2-3767-403A-AE94-79B43FD49326}"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N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O44" i="4" l="1"/>
  <c r="M35" i="4"/>
  <c r="S30" i="10"/>
  <c r="T30" i="10" s="1"/>
  <c r="G22" i="10"/>
  <c r="H22" i="10" s="1"/>
  <c r="X28" i="10"/>
  <c r="O35" i="4"/>
  <c r="G35" i="4"/>
  <c r="H35" i="4"/>
  <c r="K27" i="10" s="1"/>
  <c r="L27" i="10" s="1"/>
  <c r="L28" i="10" s="1"/>
  <c r="P35" i="4"/>
  <c r="AA27" i="10" s="1"/>
  <c r="AB27" i="10" s="1"/>
  <c r="AB28" i="10" s="1"/>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M44" i="4" l="1"/>
  <c r="AB33" i="10"/>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<sst xmlns="http://schemas.openxmlformats.org/spreadsheetml/2006/main" count="319" uniqueCount="179">
  <si>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</si>
  <si>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</si>
  <si>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</si>
  <si>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</si>
  <si>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</si>
  <si>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</si>
  <si>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</si>
  <si>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</si>
  <si>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</si>
  <si>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</si>
  <si>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</si>
  <si>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</si>
  <si>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</si>
  <si>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</si>
  <si>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</si>
  <si>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</si>
  <si>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</si>
  <si>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</si>
  <si>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</si>
  <si>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</si>
  <si>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</si>
  <si>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</si>
  <si>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</si>
  <si>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</si>
  <si>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</si>
  <si>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</si>
  <si>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</si>
  <si>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</si>
  <si>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</si>
  <si>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</si>
  <si>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</si>
  <si>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</si>
  <si>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</si>
  <si>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</si>
  <si>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</si>
  <si>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</si>
  <si>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</si>
  <si>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</si>
  <si>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</si>
  <si>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</si>
  <si>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</si>
  <si>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</si>
  <si>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</si>
  <si>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</si>
  <si>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</si>
  <si>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</si>
  <si>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</si>
  <si>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</si>
  <si>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</si>
  <si>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</si>
  <si>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</si>
  <si>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</si>
  <si>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</si>
  <si>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</si>
  <si>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</si>
  <si>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</si>
  <si>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</si>
  <si>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</si>
  <si>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</si>
  <si>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</si>
  <si>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</si>
  <si>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</si>
  <si>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</si>
  <si>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</si>
  <si>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</si>
  <si>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</si>
  <si>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</si>
  <si>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</si>
  <si>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</si>
  <si>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</si>
  <si>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</si>
  <si>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</si>
  <si>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</si>
  <si>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</si>
  <si>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</si>
  <si>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</si>
  <si>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</si>
  <si>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</si>
  <si>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</si>
  <si>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</si>
  <si>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</si>
  <si>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</si>
  <si>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</si>
  <si>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</si>
  <si>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</si>
  <si>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</si>
  <si>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</si>
  <si>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</si>
  <si>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</si>
  <si>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</si>
  <si>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</si>
  <si>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</si>
  <si>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</si>
  <si>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</si>
  <si>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</si>
  <si>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</si>
  <si>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</si>
  <si>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</si>
  <si>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</si>
  <si>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</si>
  <si>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</si>
  <si>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</si>
  <si>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</si>
  <si>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</si>
  <si>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</si>
  <si>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</si>
  <si>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</si>
  <si>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</si>
  <si>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</si>
  <si>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</si>
  <si>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</si>
  <si>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</si>
  <si>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</si>
  <si>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</si>
  <si>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</si>
  <si>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</si>
  <si>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</si>
  <si>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</si>
  <si>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</si>
  <si>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</si>
  <si>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</si>
  <si>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</si>
  <si>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</si>
  <si>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</si>
  <si>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</si>
  <si>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</si>
  <si>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</si>
  <si>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</si>
  <si>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</si>
  <si>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</si>
  <si>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</si>
  <si>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</si>
  <si>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</si>
  <si>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</si>
  <si>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</si>
  <si>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</si>
  <si>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</si>
  <si>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</si>
  <si>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</si>
  <si>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</si>
  <si>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</si>
  <si>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</si>
  <si>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</si>
  <si>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</si>
  <si>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</si>
  <si>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</si>
  <si>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</si>
  <si>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</si>
  <si>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</si>
  <si>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</si>
  <si>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</si>
  <si>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</si>
  <si>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</si>
  <si>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</si>
  <si>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</si>
  <si>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</si>
  <si>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</si>
  <si>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</si>
  <si>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</si>
  <si>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</si>
  <si>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National Guardian Life Insurance Company</t>
  </si>
  <si>
    <t>No</t>
  </si>
  <si>
    <t>The direct claim liability is allocated to the dental market based on actual claims activity. For the purposes of MLR reporting, they are further allocated to each dental market segment by the percentage of group/individual policies in each segment.</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</si>
  <si>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</si>
  <si>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Federal Income Taxes</t>
  </si>
  <si>
    <t>State Premium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</si>
  <si>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</si>
  <si>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None</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</si>
  <si>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</si>
  <si>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</si>
  <si>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</si>
  <si>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benefits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</si>
  <si>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</si>
  <si>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</si>
  <si>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Commissions Incurred</t>
  </si>
  <si>
    <t>Company does not have any other taxes</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</si>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</sst>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1858010</xdr:colOff>
      <xdr:row>29</xdr:row>
      <xdr:rowOff>130810</xdr:rowOff>
    </xdr:to>
    <xdr:pic>
      <xdr:nvPicPr>
        <xdr:cNvPr id="3" name="Picture 2">
          <a:extLst>
            <a:ext uri="{FF2B5EF4-FFF2-40B4-BE49-F238E27FC236}">
              <a16:creationId xmlns:a16="http://schemas.microsoft.com/office/drawing/2014/main" id="{1BD3A7BC-CA05-4395-A6B4-291620C924B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134225"/>
          <a:ext cx="1858010" cy="511810"/>
        </a:xfrm>
        <a:prstGeom prst="rect">
          <a:avLst/>
        </a:prstGeom>
        <a:noFill/>
        <a:ln>
          <a:noFill/>
        </a:ln>
      </xdr:spPr>
    </xdr:pic>
    <xdr:clientData/>
  </xdr:twoCellAnchor>
  <xdr:twoCellAnchor editAs="oneCell">
    <xdr:from>
      <xdr:col>1</xdr:col>
      <xdr:colOff>171449</xdr:colOff>
      <xdr:row>23</xdr:row>
      <xdr:rowOff>0</xdr:rowOff>
    </xdr:from>
    <xdr:to>
      <xdr:col>1</xdr:col>
      <xdr:colOff>1733548</xdr:colOff>
      <xdr:row>26</xdr:row>
      <xdr:rowOff>57795</xdr:rowOff>
    </xdr:to>
    <xdr:pic>
      <xdr:nvPicPr>
        <xdr:cNvPr id="6" name="Picture 5">
          <a:extLst>
            <a:ext uri="{FF2B5EF4-FFF2-40B4-BE49-F238E27FC236}">
              <a16:creationId xmlns:a16="http://schemas.microsoft.com/office/drawing/2014/main" id="{921BB3AE-9B5F-413D-B707-1710037B14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4" y="6372225"/>
          <a:ext cx="1562099" cy="629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H21" sqref="H21"/>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178</v>
      </c>
    </row>
    <row r="7" spans="1:3" ht="15.75" x14ac:dyDescent="0.2">
      <c r="A7" s="31" t="s">
        <v>1</v>
      </c>
      <c r="B7" s="32" t="s">
        <v>153</v>
      </c>
      <c r="C7" s="34"/>
    </row>
    <row r="8" spans="1:3" ht="15.75" x14ac:dyDescent="0.2">
      <c r="A8" s="31" t="s">
        <v>2</v>
      </c>
      <c r="B8" s="32" t="s">
        <v>88</v>
      </c>
      <c r="C8" s="33" t="s">
        <v>160</v>
      </c>
    </row>
    <row r="9" spans="1:3" ht="15.75" x14ac:dyDescent="0.2">
      <c r="A9" s="31" t="s">
        <v>3</v>
      </c>
      <c r="B9" s="32" t="s">
        <v>89</v>
      </c>
      <c r="C9" s="33" t="s">
        <v>160</v>
      </c>
    </row>
    <row r="10" spans="1:3" ht="16.5" thickBot="1" x14ac:dyDescent="0.3">
      <c r="A10" s="35" t="s">
        <v>4</v>
      </c>
      <c r="B10" s="36" t="s">
        <v>86</v>
      </c>
      <c r="C10" s="413"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23" zoomScaleNormal="100" workbookViewId="0">
      <selection activeCell="W45" sqref="W45"/>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2" width="19.42578125" style="25" hidden="1" customWidth="1"/>
    <col min="13"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National Guardian Life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National Guardian Life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2024</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12/31/2024</v>
      </c>
      <c r="F18" s="61">
        <f>DATE(YEAR(E18)+0,MONTH(E18)+3,DAY(E18)+0)</f>
        <v>45747</v>
      </c>
      <c r="G18" s="60" t="str">
        <f>"12/31/"&amp;""&amp;'Cover Page'!C$6</f>
        <v>12/31/2024</v>
      </c>
      <c r="H18" s="62">
        <f>DATE(YEAR(G18)+0,MONTH(G18)+3,DAY(G18)+0)</f>
        <v>45747</v>
      </c>
      <c r="I18" s="60" t="str">
        <f>"12/31/"&amp;""&amp;'Cover Page'!C$6</f>
        <v>12/31/2024</v>
      </c>
      <c r="J18" s="62">
        <f>DATE(YEAR(I18)+0,MONTH(I18)+3,DAY(I18)+0)</f>
        <v>45747</v>
      </c>
      <c r="K18" s="60" t="str">
        <f>"12/31/"&amp;""&amp;'Cover Page'!C$6</f>
        <v>12/31/2024</v>
      </c>
      <c r="L18" s="62">
        <f>DATE(YEAR(K18)+0,MONTH(K18)+3,DAY(K18)+0)</f>
        <v>45747</v>
      </c>
      <c r="M18" s="60" t="str">
        <f>"12/31/"&amp;""&amp;'Cover Page'!C$6</f>
        <v>12/31/2024</v>
      </c>
      <c r="N18" s="62">
        <f>DATE(YEAR(M18)+0,MONTH(M18)+3,DAY(M18)+0)</f>
        <v>45747</v>
      </c>
      <c r="O18" s="60" t="str">
        <f>"12/31/"&amp;""&amp;'Cover Page'!C$6</f>
        <v>12/31/2024</v>
      </c>
      <c r="P18" s="62">
        <f>DATE(YEAR(O18)+0,MONTH(O18)+3,DAY(O18)+0)</f>
        <v>45747</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34549814.339999996</v>
      </c>
      <c r="N21" s="78">
        <f>'Pt 2 Premium and Claims'!N22+'Pt 2 Premium and Claims'!N23-'Pt 2 Premium and Claims'!N24-'Pt 2 Premium and Claims'!N25</f>
        <v>34557738.609999999</v>
      </c>
      <c r="O21" s="77">
        <f>'Pt 2 Premium and Claims'!O22+'Pt 2 Premium and Claims'!O23-'Pt 2 Premium and Claims'!O24-'Pt 2 Premium and Claims'!O25</f>
        <v>4644152.59</v>
      </c>
      <c r="P21" s="78">
        <f>'Pt 2 Premium and Claims'!P22+'Pt 2 Premium and Claims'!P23-'Pt 2 Premium and Claims'!P24-'Pt 2 Premium and Claims'!P25</f>
        <v>4533343.2300000004</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21877710.609999999</v>
      </c>
      <c r="N24" s="78">
        <f>'Pt 2 Premium and Claims'!N51</f>
        <v>21725252.360000003</v>
      </c>
      <c r="O24" s="77">
        <f>'Pt 2 Premium and Claims'!O51</f>
        <v>3682558.27</v>
      </c>
      <c r="P24" s="78">
        <f>'Pt 2 Premium and Claims'!P51</f>
        <v>3503700.8000000003</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65644.647245999993</v>
      </c>
      <c r="N28" s="98">
        <v>65644.647245999993</v>
      </c>
      <c r="O28" s="99">
        <v>8823.889921</v>
      </c>
      <c r="P28" s="101">
        <v>8823.889921</v>
      </c>
    </row>
    <row r="29" spans="2:16" s="37" customFormat="1" ht="30" x14ac:dyDescent="0.2">
      <c r="B29" s="90"/>
      <c r="C29" s="94"/>
      <c r="D29" s="395" t="s">
        <v>67</v>
      </c>
      <c r="E29" s="99"/>
      <c r="F29" s="101"/>
      <c r="G29" s="97"/>
      <c r="H29" s="98"/>
      <c r="I29" s="99"/>
      <c r="J29" s="100"/>
      <c r="K29" s="99"/>
      <c r="L29" s="101"/>
      <c r="M29" s="99"/>
      <c r="N29" s="98"/>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c r="L32" s="101"/>
      <c r="M32" s="99">
        <v>677176.36106399994</v>
      </c>
      <c r="N32" s="98">
        <v>677176.36106399994</v>
      </c>
      <c r="O32" s="99">
        <v>91025.390763999996</v>
      </c>
      <c r="P32" s="101">
        <v>91025.390763999996</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v>41459.777207999992</v>
      </c>
      <c r="N34" s="98">
        <v>41459.777207999992</v>
      </c>
      <c r="O34" s="99">
        <v>5572.9831079999994</v>
      </c>
      <c r="P34" s="101">
        <v>5572.9831079999994</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784280.7855179999</v>
      </c>
      <c r="N35" s="104">
        <f t="shared" si="0"/>
        <v>784280.7855179999</v>
      </c>
      <c r="O35" s="103">
        <f>SUM(O$28:O$28,O$31,O$34+IF($H$6="No",IF(MAX(O$32:O$33)=0,MIN(O$32:O$33),MAX(O$32:O$33)),SUM(O$32:O$33)))</f>
        <v>105422.26379299999</v>
      </c>
      <c r="P35" s="104">
        <f t="shared" si="0"/>
        <v>105422.26379299999</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v>86374.535849999986</v>
      </c>
      <c r="N38" s="101">
        <v>86374.535849999986</v>
      </c>
      <c r="O38" s="99">
        <v>11610.381475</v>
      </c>
      <c r="P38" s="101">
        <v>11610.381475</v>
      </c>
    </row>
    <row r="39" spans="2:16" x14ac:dyDescent="0.2">
      <c r="B39" s="107"/>
      <c r="C39" s="94">
        <v>4.2</v>
      </c>
      <c r="D39" s="393" t="s">
        <v>19</v>
      </c>
      <c r="E39" s="99"/>
      <c r="F39" s="101"/>
      <c r="G39" s="97"/>
      <c r="H39" s="101"/>
      <c r="I39" s="99"/>
      <c r="J39" s="101"/>
      <c r="K39" s="99"/>
      <c r="L39" s="101"/>
      <c r="M39" s="99">
        <v>335133.19909799995</v>
      </c>
      <c r="N39" s="101">
        <v>335133.19909799995</v>
      </c>
      <c r="O39" s="99">
        <v>45048.280122999997</v>
      </c>
      <c r="P39" s="101">
        <v>45048.280122999997</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99">
        <v>0</v>
      </c>
      <c r="N43" s="97">
        <v>0</v>
      </c>
      <c r="O43" s="99">
        <v>0</v>
      </c>
      <c r="P43" s="403">
        <v>0</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421507.73494799994</v>
      </c>
      <c r="N44" s="104">
        <f t="shared" si="1"/>
        <v>421507.73494799994</v>
      </c>
      <c r="O44" s="103">
        <f t="shared" si="1"/>
        <v>56658.661597999999</v>
      </c>
      <c r="P44" s="104">
        <f t="shared" si="1"/>
        <v>56658.661597999999</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v>59526</v>
      </c>
      <c r="N47" s="113">
        <v>59526</v>
      </c>
      <c r="O47" s="112">
        <v>9988</v>
      </c>
      <c r="P47" s="389">
        <v>9988</v>
      </c>
    </row>
    <row r="48" spans="2:16" s="37" customFormat="1" x14ac:dyDescent="0.2">
      <c r="B48" s="90"/>
      <c r="C48" s="94">
        <v>5.2</v>
      </c>
      <c r="D48" s="393" t="s">
        <v>27</v>
      </c>
      <c r="E48" s="112"/>
      <c r="F48" s="404"/>
      <c r="G48" s="113"/>
      <c r="H48" s="113"/>
      <c r="I48" s="112"/>
      <c r="J48" s="113"/>
      <c r="K48" s="112"/>
      <c r="L48" s="113"/>
      <c r="M48" s="112">
        <v>695704</v>
      </c>
      <c r="N48" s="113">
        <v>695704</v>
      </c>
      <c r="O48" s="112">
        <v>124790</v>
      </c>
      <c r="P48" s="114">
        <v>124790</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57975.333333333336</v>
      </c>
      <c r="N49" s="116">
        <f>N48/12</f>
        <v>57975.333333333336</v>
      </c>
      <c r="O49" s="115">
        <f t="shared" si="2"/>
        <v>10399.166666666666</v>
      </c>
      <c r="P49" s="116">
        <f t="shared" si="2"/>
        <v>10399.166666666666</v>
      </c>
    </row>
    <row r="50" spans="2:16" ht="45" customHeight="1" x14ac:dyDescent="0.2">
      <c r="B50" s="117"/>
      <c r="C50" s="118"/>
      <c r="D50" s="119"/>
      <c r="E50" s="317" t="str">
        <f>"Grand Total as of "&amp;""&amp;TEXT(E$18,"MM/DD/YYYY")&amp;" for ALL markets in col. 1-12."</f>
        <v>Grand Total as of 12/31/2024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O28">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5" zoomScaleNormal="100" workbookViewId="0">
      <selection activeCell="T32" sqref="T3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2" width="19.42578125" style="11" hidden="1" customWidth="1"/>
    <col min="13"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National Guardian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National Guardian Life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2024</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12/31/2024</v>
      </c>
      <c r="F19" s="61">
        <f>DATE(YEAR(E19)+0,MONTH(E19)+3,DAY(E19)+0)</f>
        <v>45747</v>
      </c>
      <c r="G19" s="60" t="str">
        <f>"12/31/"&amp;""&amp;'Cover Page'!C$6</f>
        <v>12/31/2024</v>
      </c>
      <c r="H19" s="62">
        <f>DATE(YEAR(G19)+0,MONTH(G19)+3,DAY(G19)+0)</f>
        <v>45747</v>
      </c>
      <c r="I19" s="60" t="str">
        <f>"12/31/"&amp;""&amp;'Cover Page'!C$6</f>
        <v>12/31/2024</v>
      </c>
      <c r="J19" s="62">
        <f>DATE(YEAR(I19)+0,MONTH(I19)+3,DAY(I19)+0)</f>
        <v>45747</v>
      </c>
      <c r="K19" s="60" t="str">
        <f>"12/31/"&amp;""&amp;'Cover Page'!C$6</f>
        <v>12/31/2024</v>
      </c>
      <c r="L19" s="62">
        <f>DATE(YEAR(K19)+0,MONTH(K19)+3,DAY(K19)+0)</f>
        <v>45747</v>
      </c>
      <c r="M19" s="60" t="str">
        <f>"12/31/"&amp;""&amp;'Cover Page'!C$6</f>
        <v>12/31/2024</v>
      </c>
      <c r="N19" s="62">
        <f>DATE(YEAR(M19)+0,MONTH(M19)+3,DAY(M19)+0)</f>
        <v>45747</v>
      </c>
      <c r="O19" s="60" t="str">
        <f>"12/31/"&amp;""&amp;'Cover Page'!C$6</f>
        <v>12/31/2024</v>
      </c>
      <c r="P19" s="62">
        <f>DATE(YEAR(O19)+0,MONTH(O19)+3,DAY(O19)+0)</f>
        <v>45747</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34571065.759999998</v>
      </c>
      <c r="N22" s="155">
        <v>34557738.609999999</v>
      </c>
      <c r="O22" s="154">
        <v>4611845.3</v>
      </c>
      <c r="P22" s="155">
        <v>4533343.2300000004</v>
      </c>
    </row>
    <row r="23" spans="1:16" s="25" customFormat="1" x14ac:dyDescent="0.2">
      <c r="A23" s="37"/>
      <c r="B23" s="75"/>
      <c r="C23" s="76">
        <v>1.2</v>
      </c>
      <c r="D23" s="393" t="s">
        <v>16</v>
      </c>
      <c r="E23" s="154"/>
      <c r="F23" s="155"/>
      <c r="G23" s="154"/>
      <c r="H23" s="155"/>
      <c r="I23" s="154"/>
      <c r="J23" s="155"/>
      <c r="K23" s="154"/>
      <c r="L23" s="155"/>
      <c r="M23" s="154">
        <v>83224.44</v>
      </c>
      <c r="N23" s="155"/>
      <c r="O23" s="154">
        <v>32307.29</v>
      </c>
      <c r="P23" s="155"/>
    </row>
    <row r="24" spans="1:16" s="25" customFormat="1" x14ac:dyDescent="0.2">
      <c r="A24" s="37"/>
      <c r="B24" s="75"/>
      <c r="C24" s="76">
        <v>1.3</v>
      </c>
      <c r="D24" s="393" t="s">
        <v>34</v>
      </c>
      <c r="E24" s="154"/>
      <c r="F24" s="155"/>
      <c r="G24" s="154"/>
      <c r="H24" s="155"/>
      <c r="I24" s="154"/>
      <c r="J24" s="155"/>
      <c r="K24" s="154"/>
      <c r="L24" s="155"/>
      <c r="M24" s="154">
        <v>104475.86</v>
      </c>
      <c r="N24" s="155"/>
      <c r="O24" s="154">
        <v>0</v>
      </c>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21789875.600000001</v>
      </c>
      <c r="N29" s="164"/>
      <c r="O29" s="154">
        <v>3505596.2</v>
      </c>
      <c r="P29" s="164"/>
    </row>
    <row r="30" spans="1:16" s="25" customFormat="1" ht="28.5" customHeight="1" x14ac:dyDescent="0.2">
      <c r="A30" s="37"/>
      <c r="B30" s="75"/>
      <c r="C30" s="76"/>
      <c r="D30" s="395" t="s">
        <v>54</v>
      </c>
      <c r="E30" s="165"/>
      <c r="F30" s="155"/>
      <c r="G30" s="165"/>
      <c r="H30" s="155"/>
      <c r="I30" s="165"/>
      <c r="J30" s="155"/>
      <c r="K30" s="165"/>
      <c r="L30" s="155"/>
      <c r="M30" s="165"/>
      <c r="N30" s="155">
        <v>21282717.760000002</v>
      </c>
      <c r="O30" s="165"/>
      <c r="P30" s="155">
        <v>3392356.89</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v>1773400.43</v>
      </c>
      <c r="N32" s="166"/>
      <c r="O32" s="154">
        <v>470684.23</v>
      </c>
      <c r="P32" s="164"/>
    </row>
    <row r="33" spans="1:16" s="37" customFormat="1" ht="30" x14ac:dyDescent="0.2">
      <c r="B33" s="90"/>
      <c r="C33" s="76"/>
      <c r="D33" s="395" t="s">
        <v>44</v>
      </c>
      <c r="E33" s="165"/>
      <c r="F33" s="155"/>
      <c r="G33" s="165"/>
      <c r="H33" s="167"/>
      <c r="I33" s="165"/>
      <c r="J33" s="155"/>
      <c r="K33" s="165"/>
      <c r="L33" s="155"/>
      <c r="M33" s="165"/>
      <c r="N33" s="167">
        <v>442534.6</v>
      </c>
      <c r="O33" s="165"/>
      <c r="P33" s="155">
        <v>111343.91</v>
      </c>
    </row>
    <row r="34" spans="1:16" s="25" customFormat="1" x14ac:dyDescent="0.2">
      <c r="A34" s="37"/>
      <c r="B34" s="75"/>
      <c r="C34" s="76">
        <v>2.2999999999999998</v>
      </c>
      <c r="D34" s="393" t="s">
        <v>28</v>
      </c>
      <c r="E34" s="154"/>
      <c r="F34" s="164"/>
      <c r="G34" s="154"/>
      <c r="H34" s="166"/>
      <c r="I34" s="154"/>
      <c r="J34" s="164"/>
      <c r="K34" s="154"/>
      <c r="L34" s="164"/>
      <c r="M34" s="154">
        <v>1685565.42</v>
      </c>
      <c r="N34" s="166"/>
      <c r="O34" s="154">
        <v>293722.15999999997</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21877710.609999999</v>
      </c>
      <c r="N51" s="104">
        <f>N30+N33+N37+N41+N44+N47+N48+N50</f>
        <v>21725252.360000003</v>
      </c>
      <c r="O51" s="103">
        <f>O29+O32-O34+O36-O38+O40+O43-O45+O47+O48-O49+O50</f>
        <v>3682558.27</v>
      </c>
      <c r="P51" s="104">
        <f>P30+P33+P37+P41+P44+P47+P48+P50</f>
        <v>3503700.8000000003</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5" zoomScaleNormal="100" workbookViewId="0">
      <selection activeCell="J79" sqref="J79"/>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National Guardian Life Insurance Company</v>
      </c>
    </row>
    <row r="9" spans="2:5" s="2" customFormat="1" ht="15.75" customHeight="1" x14ac:dyDescent="0.25">
      <c r="B9" s="52" t="s">
        <v>90</v>
      </c>
    </row>
    <row r="10" spans="2:5" s="2" customFormat="1" ht="15" customHeight="1" x14ac:dyDescent="0.2">
      <c r="B10" s="183" t="str">
        <f>'Cover Page'!C9</f>
        <v>National Guardian Life Insurance Company</v>
      </c>
    </row>
    <row r="11" spans="2:5" s="2" customFormat="1" ht="15.75" x14ac:dyDescent="0.25">
      <c r="B11" s="52" t="s">
        <v>85</v>
      </c>
    </row>
    <row r="12" spans="2:5" s="2" customFormat="1" x14ac:dyDescent="0.2">
      <c r="B12" s="183" t="str">
        <f>'Cover Page'!C6</f>
        <v>2024</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35</v>
      </c>
      <c r="C18" s="197"/>
      <c r="D18" s="333" t="s">
        <v>162</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t="s">
        <v>164</v>
      </c>
      <c r="C26" s="197"/>
      <c r="D26" s="333" t="s">
        <v>163</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t="s">
        <v>165</v>
      </c>
      <c r="C33" s="197"/>
      <c r="D33" s="333" t="s">
        <v>166</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167</v>
      </c>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t="s">
        <v>168</v>
      </c>
      <c r="C47" s="197"/>
      <c r="D47" s="333" t="s">
        <v>169</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t="s">
        <v>170</v>
      </c>
      <c r="C55" s="202"/>
      <c r="D55" s="333" t="s">
        <v>172</v>
      </c>
      <c r="E55" s="203"/>
    </row>
    <row r="56" spans="2:5" s="204" customFormat="1" ht="35.25" customHeight="1" x14ac:dyDescent="0.2">
      <c r="B56" s="188" t="s">
        <v>171</v>
      </c>
      <c r="C56" s="199"/>
      <c r="D56" s="333" t="s">
        <v>173</v>
      </c>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t="s">
        <v>174</v>
      </c>
      <c r="C62" s="202"/>
      <c r="D62" s="333" t="s">
        <v>173</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t="s">
        <v>167</v>
      </c>
      <c r="C69" s="202"/>
      <c r="D69" s="333" t="s">
        <v>175</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t="s">
        <v>176</v>
      </c>
      <c r="C76" s="202"/>
      <c r="D76" s="333" t="s">
        <v>177</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2" zoomScaleNormal="100" workbookViewId="0">
      <selection activeCell="X39" sqref="X39"/>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hidden="1" customWidth="1"/>
    <col min="19" max="19" width="16.28515625" style="9" hidden="1" customWidth="1"/>
    <col min="20" max="20" width="16.85546875" style="9" hidden="1" customWidth="1"/>
    <col min="21"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National Guardian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National Guardian Life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2024</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15939279.08</v>
      </c>
      <c r="V22" s="249">
        <v>20676403.290000003</v>
      </c>
      <c r="W22" s="250">
        <f>'Pt 1 Summary of Data'!N24</f>
        <v>21725252.360000003</v>
      </c>
      <c r="X22" s="251">
        <f>SUM(U22:W22)</f>
        <v>58340934.730000004</v>
      </c>
      <c r="Y22" s="248">
        <v>4180520.41</v>
      </c>
      <c r="Z22" s="249">
        <v>3716541.2</v>
      </c>
      <c r="AA22" s="250">
        <f>'Pt 1 Summary of Data'!P24</f>
        <v>3503700.8000000003</v>
      </c>
      <c r="AB22" s="251">
        <f>SUM(Y22:AA22)</f>
        <v>11400762.41</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15939279.08</v>
      </c>
      <c r="V23" s="252">
        <f>SUM(V$22:V$22)</f>
        <v>20676403.290000003</v>
      </c>
      <c r="W23" s="252">
        <f>SUM(W$22:W$22)</f>
        <v>21725252.360000003</v>
      </c>
      <c r="X23" s="251">
        <f>SUM(U23:W23)</f>
        <v>58340934.730000004</v>
      </c>
      <c r="Y23" s="414">
        <f>SUM(Y$22:Y$22)</f>
        <v>4180520.41</v>
      </c>
      <c r="Z23" s="252">
        <f>SUM(Z$22:Z$22)</f>
        <v>3716541.2</v>
      </c>
      <c r="AA23" s="252">
        <f>SUM(AA$22:AA$22)</f>
        <v>3503700.8000000003</v>
      </c>
      <c r="AB23" s="251">
        <f>SUM(Y23:AA23)</f>
        <v>11400762.41</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27129323</v>
      </c>
      <c r="V26" s="249">
        <v>32096358</v>
      </c>
      <c r="W26" s="259">
        <f>'Pt 1 Summary of Data'!N21</f>
        <v>34557738.609999999</v>
      </c>
      <c r="X26" s="251">
        <f>SUM(U26:W26)</f>
        <v>93783419.609999999</v>
      </c>
      <c r="Y26" s="258">
        <v>5881125</v>
      </c>
      <c r="Z26" s="249">
        <v>4840918</v>
      </c>
      <c r="AA26" s="259">
        <f>'Pt 1 Summary of Data'!P21</f>
        <v>4533343.2300000004</v>
      </c>
      <c r="AB26" s="251">
        <f>SUM(Y26:AA26)</f>
        <v>15255386.23</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689864</v>
      </c>
      <c r="V27" s="249">
        <v>729402.27922933234</v>
      </c>
      <c r="W27" s="259">
        <f>'Pt 1 Summary of Data'!N35</f>
        <v>784280.7855179999</v>
      </c>
      <c r="X27" s="251">
        <f>SUM(U27:W27)</f>
        <v>2203547.0647473321</v>
      </c>
      <c r="Y27" s="258">
        <v>149558</v>
      </c>
      <c r="Z27" s="249">
        <v>110011.75344449676</v>
      </c>
      <c r="AA27" s="259">
        <f>'Pt 1 Summary of Data'!P35</f>
        <v>105422.26379299999</v>
      </c>
      <c r="AB27" s="251">
        <f>SUM(Y27:AA27)</f>
        <v>364992.0172374968</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26439459</v>
      </c>
      <c r="V28" s="259">
        <f t="shared" si="0"/>
        <v>31366955.720770668</v>
      </c>
      <c r="W28" s="259">
        <f t="shared" si="0"/>
        <v>33773457.824482001</v>
      </c>
      <c r="X28" s="104">
        <f>X$26-X$27</f>
        <v>91579872.545252666</v>
      </c>
      <c r="Y28" s="103">
        <f t="shared" si="0"/>
        <v>5731567</v>
      </c>
      <c r="Z28" s="259">
        <f t="shared" si="0"/>
        <v>4730906.2465555035</v>
      </c>
      <c r="AA28" s="259">
        <f t="shared" si="0"/>
        <v>4427920.9662070004</v>
      </c>
      <c r="AB28" s="104">
        <f>AB$26-AB$27</f>
        <v>14890394.212762503</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45065.5</v>
      </c>
      <c r="V30" s="264">
        <v>54487.416666666664</v>
      </c>
      <c r="W30" s="268">
        <f>'Pt 1 Summary of Data'!N49</f>
        <v>57975.333333333336</v>
      </c>
      <c r="X30" s="266">
        <f>SUM(U30:W30)</f>
        <v>157528.25</v>
      </c>
      <c r="Y30" s="267">
        <v>10922.583333333334</v>
      </c>
      <c r="Z30" s="264">
        <v>11134.416666666666</v>
      </c>
      <c r="AA30" s="268">
        <f>'Pt 1 Summary of Data'!P49</f>
        <v>10399.166666666666</v>
      </c>
      <c r="AB30" s="266">
        <f>SUM(Y30:AA30)</f>
        <v>32456.166666666664</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0.63704974803466563</v>
      </c>
      <c r="Y33" s="277"/>
      <c r="Z33" s="278"/>
      <c r="AA33" s="278"/>
      <c r="AB33" s="415">
        <f>IF(AB30&lt;1000,"Not Required to Calculate",AB23/AB28)</f>
        <v>0.7656454387371725</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2" zoomScaleNormal="100" workbookViewId="0">
      <selection activeCell="D24" sqref="D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National Guardian Life Insurance Company</v>
      </c>
      <c r="C8" s="335"/>
    </row>
    <row r="9" spans="2:3" s="2" customFormat="1" ht="15.75" customHeight="1" x14ac:dyDescent="0.25">
      <c r="B9" s="52" t="s">
        <v>90</v>
      </c>
      <c r="C9" s="335"/>
    </row>
    <row r="10" spans="2:3" s="2" customFormat="1" ht="15.75" customHeight="1" x14ac:dyDescent="0.25">
      <c r="B10" s="283" t="str">
        <f>'Cover Page'!C9</f>
        <v>National Guardian Life Insurance Company</v>
      </c>
      <c r="C10" s="335"/>
    </row>
    <row r="11" spans="2:3" s="2" customFormat="1" ht="15.75" x14ac:dyDescent="0.25">
      <c r="B11" s="52" t="s">
        <v>85</v>
      </c>
    </row>
    <row r="12" spans="2:3" s="2" customFormat="1" x14ac:dyDescent="0.2">
      <c r="B12" s="183" t="str">
        <f>'Cover Page'!C6</f>
        <v>2024</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E34" sqref="E34"/>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National Guardian Life Insurance Company</v>
      </c>
    </row>
    <row r="9" spans="2:4" ht="15.75" customHeight="1" x14ac:dyDescent="0.25">
      <c r="B9" s="52" t="s">
        <v>90</v>
      </c>
    </row>
    <row r="10" spans="2:4" ht="15.75" customHeight="1" x14ac:dyDescent="0.25">
      <c r="B10" s="283" t="str">
        <f>'Cover Page'!C9</f>
        <v>National Guardian Life Insurance Company</v>
      </c>
    </row>
    <row r="11" spans="2:4" ht="15.75" x14ac:dyDescent="0.25">
      <c r="B11" s="52" t="s">
        <v>85</v>
      </c>
    </row>
    <row r="12" spans="2:4" x14ac:dyDescent="0.2">
      <c r="B12" s="183" t="str">
        <f>'Cover Page'!C6</f>
        <v>2024</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2025-08-06T19:10:31Z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