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820" firstSheet="1" activeTab="1"/>
  </bookViews>
  <sheets>
    <sheet name="Sheet4" sheetId="1" state="hidden" r:id="rId1"/>
    <sheet name="uep_res" sheetId="2" r:id="rId2"/>
    <sheet name="uep_res_17&amp;18" sheetId="3" r:id="rId3"/>
    <sheet name="loss reserve ratio" sheetId="4" r:id="rId4"/>
    <sheet name="aoe_2018" sheetId="5" r:id="rId5"/>
    <sheet name="aoe_2017" sheetId="6" r:id="rId6"/>
    <sheet name="reserve ratio 18 vs 17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externalReferences>
    <externalReference r:id="rId15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'uep_res'!$A$1:$G$61</definedName>
    <definedName name="_xlnm.Print_Area" localSheetId="2">'uep_res_17&amp;18'!$A$1:$E$61</definedName>
    <definedName name="_xlnm.Print_Titles" localSheetId="1">'uep_res'!$1:$6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2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<sst xmlns="http://schemas.openxmlformats.org/spreadsheetml/2006/main" count="1172" uniqueCount="264">
  <si>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</si>
  <si>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</si>
  <si>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</si>
  <si>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</si>
  <si>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</si>
  <si>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</si>
  <si>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</si>
  <si>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</si>
  <si>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</si>
  <si>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</si>
  <si>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</si>
  <si>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</si>
  <si>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</si>
  <si>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</si>
  <si>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</si>
  <si>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</si>
  <si>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</si>
  <si>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</si>
  <si>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</si>
  <si>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</si>
  <si>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</si>
  <si>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</si>
  <si>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</si>
  <si>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</si>
  <si>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</si>
  <si>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</si>
  <si>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</si>
  <si>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</si>
  <si>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</si>
  <si>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</si>
  <si>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</si>
  <si>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</si>
  <si>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</si>
  <si>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</si>
  <si>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</si>
  <si>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</si>
  <si>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</si>
  <si>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</si>
  <si>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</si>
  <si>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</si>
  <si>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</si>
  <si>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</si>
  <si>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</si>
  <si>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</si>
  <si>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</si>
  <si>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</si>
  <si>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</si>
  <si>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</si>
  <si>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</si>
  <si>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</si>
  <si>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</si>
  <si>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</si>
  <si>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</si>
  <si>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</si>
  <si>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</si>
  <si>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</si>
  <si>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</si>
  <si>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</si>
  <si>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</si>
  <si>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</si>
  <si>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</si>
  <si>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</si>
  <si>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</si>
  <si>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</si>
  <si>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</si>
  <si>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</si>
  <si>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</si>
  <si>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</si>
  <si>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</si>
  <si>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</si>
  <si>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</si>
  <si>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</si>
  <si>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</si>
  <si>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</si>
  <si>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</si>
  <si>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</si>
  <si>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</si>
  <si>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</si>
  <si>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</si>
  <si>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</si>
  <si>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</si>
  <si>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</si>
  <si>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</si>
  <si>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</si>
  <si>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</si>
  <si>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</si>
  <si>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</si>
  <si>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</si>
  <si>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</si>
  <si>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</si>
  <si>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</si>
  <si>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</si>
  <si>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</si>
  <si>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</si>
  <si>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</si>
  <si>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</si>
  <si>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</si>
  <si>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</si>
  <si>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</si>
  <si>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</si>
  <si>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</si>
  <si>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</si>
  <si>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</si>
  <si>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</si>
  <si>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</si>
  <si>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</si>
  <si>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</si>
  <si>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</si>
  <si>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</si>
  <si>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</si>
  <si>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</si>
  <si>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</si>
  <si>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</si>
  <si>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</si>
  <si>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</si>
  <si>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</si>
  <si>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</si>
  <si>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</si>
  <si>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</si>
  <si>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</si>
  <si>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</si>
  <si>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</si>
  <si>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</si>
  <si>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</si>
  <si>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</si>
  <si>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</si>
  <si>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</si>
  <si>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</si>
  <si>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</si>
  <si>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</si>
  <si>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</si>
  <si>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</si>
  <si>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</si>
  <si>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</si>
  <si>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</si>
  <si>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</si>
  <si>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</si>
  <si>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</si>
  <si>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</si>
  <si>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</si>
  <si>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</si>
  <si>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</si>
  <si>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</si>
  <si>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</si>
  <si>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</si>
  <si>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</si>
  <si>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</si>
  <si>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0.5(A/B)</t>
  </si>
  <si>
    <t>sum [4] thru [9]</t>
  </si>
  <si>
    <t>[11]</t>
  </si>
  <si>
    <t>[10]/2</t>
  </si>
  <si>
    <t>[A] = sum[4] thru [9]</t>
  </si>
  <si>
    <t>Only for the TOTAL row</t>
  </si>
  <si>
    <t>[11] = [10]*[3]</t>
  </si>
  <si>
    <t>(Loss Reserve Ratio) * (TL IL &amp; DCCE)</t>
  </si>
  <si>
    <t>PPA LIAB &amp; PD</t>
  </si>
  <si>
    <t>COMLA LIAB &amp; PD</t>
  </si>
  <si>
    <t>WARRANTY</t>
  </si>
  <si>
    <t>30</t>
  </si>
  <si>
    <t>MED PROF LIAB</t>
  </si>
  <si>
    <t>17.2</t>
  </si>
  <si>
    <t>Notes:</t>
  </si>
  <si>
    <t>The Loss Reserve Ratio for Earthquake = 1.00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</si>
  <si>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</si>
  <si>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</si>
  <si>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</si>
  <si>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</si>
  <si>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</si>
  <si>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</si>
  <si>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</si>
  <si>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</si>
  <si>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</si>
  <si>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</si>
  <si>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</si>
  <si>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</si>
  <si>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</si>
  <si>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</si>
  <si>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</si>
  <si>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19.2 &amp; 21.1</t>
  </si>
  <si>
    <t>19.4 &amp; 21.2</t>
  </si>
  <si>
    <t>The Loss Reserve Ratio for Burglary and Theft is the dollar-weighted average of the Loss Reserve Ratios for Fire, Allied Lines and Inland Marine.</t>
  </si>
  <si>
    <t>***</t>
  </si>
  <si>
    <t>02.4</t>
  </si>
  <si>
    <t>PRIVATE CROP</t>
  </si>
  <si>
    <t>02.5</t>
  </si>
  <si>
    <t>PRIVATE FLOOD</t>
  </si>
  <si>
    <t>hide</t>
  </si>
  <si>
    <t>Sum of 2016 (CA Loss Unpaid, CA DCCE Unpaid, Alloc CA AOE Unpaid) and 2015 (CA Loss Unpaid, CA DCCE Unpaid, Alloc CA AOE Unpaid)</t>
  </si>
  <si>
    <t>[B] = [3]</t>
  </si>
  <si>
    <t>% change</t>
  </si>
  <si>
    <t>These Loss Reserve Ratios are based on a 5-year weighted average due to anomalies in the data.</t>
  </si>
  <si>
    <t>2017 Allocation of AOE Reserves to California</t>
  </si>
  <si>
    <t>****</t>
  </si>
  <si>
    <t>TOTAL Line - Loss Reserve Ratios are before adjustment.</t>
  </si>
  <si>
    <t>2018 Allocation of AOE Reserves to California</t>
  </si>
  <si>
    <t>2018 California Loss Reserve Ratio</t>
  </si>
  <si>
    <t>2018 vs 2017</t>
  </si>
  <si>
    <t>[9a]</t>
  </si>
  <si>
    <t>[9b]</t>
  </si>
  <si>
    <t>The Loss Reserve Ratio in the Total row is:  Sum of [11] divided by sum of [3]</t>
  </si>
  <si>
    <t>[10] = 0.5([4]+[5]+[6]+[7]+[8]+[9])/[3]</t>
  </si>
  <si>
    <t>******</t>
  </si>
  <si>
    <t>*****</t>
  </si>
  <si>
    <t>******  These Loss Reserve Ratios are based on a 3-year weighted average due to anomalies in the data.</t>
  </si>
  <si>
    <t>These Loss Reserve Ratios are based on a 4-year weighted average due to anomalies in the data.</t>
  </si>
  <si>
    <t>These Loss Reserve Ratios are based on a 3-year weighted average due to anomalies in the data.</t>
  </si>
  <si>
    <t>*****    These Loss Reserve Ratios are based on a 4-year weighted average due to anomalies in the data.</t>
  </si>
  <si>
    <t>****      Private Crop &amp; Private Flood are based on a 2-year simple average.</t>
  </si>
  <si>
    <t>***       These Loss Reserve Ratios are based on a 5-year weighted average due to anomalies in the data.</t>
  </si>
  <si>
    <t>**         The Loss Reserve Ratio for Burglary and Theft is the dollar - weighted average of the Loss Reserve Ratios</t>
  </si>
  <si>
    <t xml:space="preserve">             for Fire, Allied Lines and Inland Marine.</t>
  </si>
  <si>
    <t>*           The Loss Reserve Ratio for Earthquake = 1.00.</t>
  </si>
  <si>
    <t>2018 SUMMARY BY-LINE</t>
  </si>
  <si>
    <t>Unearned Premium Reserve Ratio and Loss Reserve Ratio</t>
  </si>
  <si>
    <t>Loss Reserve</t>
  </si>
  <si>
    <t>Line #</t>
  </si>
  <si>
    <t>Reserve Ratio</t>
  </si>
  <si>
    <t>02.2</t>
  </si>
  <si>
    <t>02.3</t>
  </si>
  <si>
    <t xml:space="preserve">  CMP (N-LIAB)</t>
  </si>
  <si>
    <t xml:space="preserve">  CMP (LIAB)</t>
  </si>
  <si>
    <t xml:space="preserve">  MED PROF LIAB (OCC)</t>
  </si>
  <si>
    <t xml:space="preserve">  MED PROF LIAB (CM)</t>
  </si>
  <si>
    <t>MEDICARE T18</t>
  </si>
  <si>
    <t xml:space="preserve">  OTHER LIAB (OCC)</t>
  </si>
  <si>
    <t xml:space="preserve">  OTHER LIAB (CM)</t>
  </si>
  <si>
    <t>EXCESS WC</t>
  </si>
  <si>
    <t xml:space="preserve">  PROD LIAB (OCC)</t>
  </si>
  <si>
    <t xml:space="preserve">  PROD LIAB (CM)</t>
  </si>
  <si>
    <t>CML A NO-FLT</t>
  </si>
  <si>
    <t>TOTAL PROP 103</t>
  </si>
  <si>
    <t>*            The Loss Reserve Ratio for Earthquake = 1.00.</t>
  </si>
  <si>
    <t>**          The Loss Reserve Ratio for Burglary and Theft is the dollar - weighted average of the Loss Reserve Ratios</t>
  </si>
  <si>
    <t xml:space="preserve">              for Fire, Allied Lines and Inland Marine.</t>
  </si>
  <si>
    <t>***        These Loss Reserve Ratios are based on a 5-year weighted average due to anomalies in the data.</t>
  </si>
  <si>
    <t>2018 SUMMARY OF BY-LINE UNEARNED PREMIUM RESERVE RATIO</t>
  </si>
  <si>
    <t>Two-Year Average Unearned Premium to Earned Premium</t>
  </si>
  <si>
    <t>2018 CA Direct</t>
  </si>
  <si>
    <t>2018 CA UEP</t>
  </si>
  <si>
    <t>2017 CA UEP</t>
  </si>
  <si>
    <t>2-Year Average</t>
  </si>
  <si>
    <t>UEP RSV</t>
  </si>
  <si>
    <t>Earned Premium</t>
  </si>
  <si>
    <t>Reserves</t>
  </si>
  <si>
    <t>calculated</t>
  </si>
  <si>
    <t>from AM Best's - Total US PC Industry</t>
  </si>
  <si>
    <t>2018 EP</t>
  </si>
  <si>
    <t>2018 UEP</t>
  </si>
  <si>
    <t>2017 UEP</t>
  </si>
  <si>
    <t>WORKERS' COMP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</si>
  <si>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</si>
  <si>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</si>
  <si>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</si>
  <si>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</si>
  <si>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</si>
  <si>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</si>
  <si>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TOTALS</t>
  </si>
  <si>
    <t>2018 vs 2017 UNEARNED PREMIUM RESERVE RATIO BY LINE</t>
  </si>
  <si>
    <t>2017 UEP RSV</t>
  </si>
  <si>
    <t>2018 UEP RSV</t>
  </si>
  <si>
    <t>Comparison of
 2018 vs 2017</t>
  </si>
  <si>
    <t>[ 1 ]</t>
  </si>
  <si>
    <t>[ 2 ]</t>
  </si>
  <si>
    <t>[ 3 ] = [ 2 ] - [ 1 ]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</si>
</sst>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0.0000_);[Red]\(0.0000\)"/>
    <numFmt numFmtId="214" formatCode="#,##0;\-#,##0"/>
    <numFmt numFmtId="215" formatCode="0.00000000"/>
    <numFmt numFmtId="216" formatCode="0.0000000"/>
    <numFmt numFmtId="217" formatCode="0.000000"/>
    <numFmt numFmtId="218" formatCode="0.00000"/>
    <numFmt numFmtId="219" formatCode="*.\ #,##0_);*.\ \(#,##0\);*.#;@\ *."/>
    <numFmt numFmtId="220" formatCode="000000"/>
    <numFmt numFmtId="221" formatCode="@*."/>
    <numFmt numFmtId="222" formatCode="#,###;\-#,###;0"/>
    <numFmt numFmtId="223" formatCode="#,##0.0;\-#,##0.0;\-"/>
    <numFmt numFmtId="224" formatCode="#,##0.00;\-#,##0.00;\-"/>
  </numFmts>
  <fonts count="9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2"/>
      <color theme="5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5" fillId="0" borderId="0">
      <alignment/>
      <protection locked="0"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55" fillId="0" borderId="0">
      <alignment vertical="top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144" applyFont="1" applyFill="1" applyBorder="1" applyAlignment="1">
      <alignment horizontal="center"/>
      <protection/>
    </xf>
    <xf numFmtId="0" fontId="2" fillId="0" borderId="0" xfId="144">
      <alignment/>
      <protection/>
    </xf>
    <xf numFmtId="0" fontId="2" fillId="0" borderId="7" xfId="144" applyFont="1" applyFill="1" applyBorder="1" applyAlignment="1">
      <alignment wrapText="1"/>
      <protection/>
    </xf>
    <xf numFmtId="0" fontId="2" fillId="0" borderId="7" xfId="144" applyFont="1" applyFill="1" applyBorder="1" applyAlignment="1">
      <alignment horizontal="right" wrapText="1"/>
      <protection/>
    </xf>
    <xf numFmtId="165" fontId="2" fillId="24" borderId="10" xfId="81" applyNumberFormat="1" applyFont="1" applyFill="1" applyBorder="1" applyAlignment="1">
      <alignment horizontal="center"/>
    </xf>
    <xf numFmtId="165" fontId="2" fillId="0" borderId="7" xfId="81" applyNumberFormat="1" applyFont="1" applyFill="1" applyBorder="1" applyAlignment="1">
      <alignment horizontal="right" wrapText="1"/>
    </xf>
    <xf numFmtId="165" fontId="2" fillId="0" borderId="0" xfId="81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81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15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81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81" applyNumberFormat="1" applyFont="1" applyBorder="1" applyAlignment="1">
      <alignment/>
    </xf>
    <xf numFmtId="3" fontId="12" fillId="0" borderId="21" xfId="93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81" applyNumberFormat="1" applyFont="1" applyBorder="1" applyAlignment="1">
      <alignment/>
    </xf>
    <xf numFmtId="3" fontId="12" fillId="0" borderId="15" xfId="93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81" applyNumberFormat="1" applyFont="1" applyFill="1" applyBorder="1" applyAlignment="1">
      <alignment horizontal="right" wrapText="1"/>
    </xf>
    <xf numFmtId="3" fontId="12" fillId="0" borderId="22" xfId="81" applyNumberFormat="1" applyFont="1" applyBorder="1" applyAlignment="1">
      <alignment/>
    </xf>
    <xf numFmtId="3" fontId="12" fillId="0" borderId="22" xfId="93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81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150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9" fontId="10" fillId="0" borderId="0" xfId="150" applyFont="1" applyBorder="1" applyAlignment="1">
      <alignment horizontal="center" wrapText="1"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3" xfId="0" applyNumberFormat="1" applyFont="1" applyBorder="1" applyAlignment="1">
      <alignment horizontal="center" vertical="center"/>
    </xf>
    <xf numFmtId="204" fontId="22" fillId="0" borderId="34" xfId="0" applyNumberFormat="1" applyFont="1" applyBorder="1" applyAlignment="1">
      <alignment horizontal="center" vertical="center"/>
    </xf>
    <xf numFmtId="0" fontId="22" fillId="0" borderId="35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81" applyNumberFormat="1" applyFont="1" applyAlignment="1" quotePrefix="1">
      <alignment/>
    </xf>
    <xf numFmtId="10" fontId="18" fillId="0" borderId="0" xfId="150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81" applyNumberFormat="1" applyFont="1" applyFill="1" applyAlignment="1">
      <alignment/>
    </xf>
    <xf numFmtId="165" fontId="18" fillId="0" borderId="0" xfId="81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81" applyNumberFormat="1" applyFont="1" applyAlignment="1">
      <alignment/>
    </xf>
    <xf numFmtId="165" fontId="24" fillId="0" borderId="0" xfId="81" applyNumberFormat="1" applyFont="1" applyFill="1" applyBorder="1" applyAlignment="1">
      <alignment horizontal="right" wrapText="1"/>
    </xf>
    <xf numFmtId="165" fontId="18" fillId="0" borderId="0" xfId="81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81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150" applyNumberFormat="1" applyFont="1" applyAlignment="1">
      <alignment/>
    </xf>
    <xf numFmtId="165" fontId="25" fillId="0" borderId="0" xfId="81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167" fontId="25" fillId="0" borderId="0" xfId="0" applyNumberFormat="1" applyFont="1" applyAlignment="1">
      <alignment horizontal="left"/>
    </xf>
    <xf numFmtId="39" fontId="9" fillId="0" borderId="0" xfId="81" applyNumberFormat="1" applyFont="1" applyFill="1" applyBorder="1" applyAlignment="1">
      <alignment horizontal="center"/>
    </xf>
    <xf numFmtId="165" fontId="18" fillId="0" borderId="11" xfId="81" applyNumberFormat="1" applyFont="1" applyBorder="1" applyAlignment="1" quotePrefix="1">
      <alignment/>
    </xf>
    <xf numFmtId="165" fontId="9" fillId="0" borderId="36" xfId="0" applyNumberFormat="1" applyFont="1" applyBorder="1" applyAlignment="1">
      <alignment horizontal="center" vertical="center"/>
    </xf>
    <xf numFmtId="165" fontId="9" fillId="0" borderId="36" xfId="81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81" applyNumberFormat="1" applyFont="1" applyFill="1" applyBorder="1" applyAlignment="1">
      <alignment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81" applyNumberFormat="1" applyFont="1" applyFill="1" applyBorder="1" applyAlignment="1">
      <alignment/>
    </xf>
    <xf numFmtId="165" fontId="9" fillId="0" borderId="34" xfId="0" applyNumberFormat="1" applyFont="1" applyBorder="1" applyAlignment="1">
      <alignment horizontal="center" vertical="center"/>
    </xf>
    <xf numFmtId="165" fontId="9" fillId="0" borderId="34" xfId="81" applyNumberFormat="1" applyFont="1" applyFill="1" applyBorder="1" applyAlignment="1">
      <alignment/>
    </xf>
    <xf numFmtId="39" fontId="9" fillId="0" borderId="34" xfId="81" applyNumberFormat="1" applyFont="1" applyFill="1" applyBorder="1" applyAlignment="1">
      <alignment horizontal="center"/>
    </xf>
    <xf numFmtId="165" fontId="49" fillId="0" borderId="23" xfId="0" applyNumberFormat="1" applyFont="1" applyBorder="1" applyAlignment="1">
      <alignment horizontal="center" vertical="center"/>
    </xf>
    <xf numFmtId="206" fontId="0" fillId="0" borderId="36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206" fontId="0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81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81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205" fontId="9" fillId="0" borderId="42" xfId="0" applyNumberFormat="1" applyFont="1" applyBorder="1" applyAlignment="1">
      <alignment horizontal="left" vertical="center"/>
    </xf>
    <xf numFmtId="205" fontId="9" fillId="0" borderId="43" xfId="0" applyNumberFormat="1" applyFont="1" applyBorder="1" applyAlignment="1">
      <alignment horizontal="left" vertical="center"/>
    </xf>
    <xf numFmtId="0" fontId="50" fillId="0" borderId="36" xfId="0" applyFont="1" applyFill="1" applyBorder="1" applyAlignment="1">
      <alignment wrapText="1"/>
    </xf>
    <xf numFmtId="205" fontId="9" fillId="0" borderId="44" xfId="0" applyNumberFormat="1" applyFont="1" applyFill="1" applyBorder="1" applyAlignment="1">
      <alignment horizontal="left" vertical="center"/>
    </xf>
    <xf numFmtId="205" fontId="9" fillId="0" borderId="45" xfId="0" applyNumberFormat="1" applyFont="1" applyFill="1" applyBorder="1" applyAlignment="1">
      <alignment horizontal="left" vertical="center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left" wrapText="1"/>
    </xf>
    <xf numFmtId="205" fontId="9" fillId="0" borderId="46" xfId="0" applyNumberFormat="1" applyFont="1" applyBorder="1" applyAlignment="1">
      <alignment horizontal="left" vertical="center"/>
    </xf>
    <xf numFmtId="205" fontId="9" fillId="0" borderId="47" xfId="0" applyNumberFormat="1" applyFont="1" applyBorder="1" applyAlignment="1">
      <alignment horizontal="left" vertical="center"/>
    </xf>
    <xf numFmtId="0" fontId="50" fillId="0" borderId="38" xfId="0" applyFont="1" applyFill="1" applyBorder="1" applyAlignment="1">
      <alignment wrapText="1"/>
    </xf>
    <xf numFmtId="49" fontId="51" fillId="0" borderId="34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wrapText="1"/>
    </xf>
    <xf numFmtId="0" fontId="51" fillId="0" borderId="30" xfId="0" applyFont="1" applyBorder="1" applyAlignment="1">
      <alignment/>
    </xf>
    <xf numFmtId="0" fontId="51" fillId="0" borderId="11" xfId="0" applyFont="1" applyBorder="1" applyAlignment="1">
      <alignment/>
    </xf>
    <xf numFmtId="165" fontId="51" fillId="0" borderId="11" xfId="81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10" fillId="0" borderId="13" xfId="15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1" fillId="0" borderId="0" xfId="81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0" fontId="51" fillId="0" borderId="19" xfId="15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150" applyNumberFormat="1" applyFont="1" applyBorder="1" applyAlignment="1">
      <alignment horizontal="center"/>
    </xf>
    <xf numFmtId="165" fontId="10" fillId="0" borderId="0" xfId="81" applyNumberFormat="1" applyFont="1" applyBorder="1" applyAlignment="1">
      <alignment horizontal="center"/>
    </xf>
    <xf numFmtId="0" fontId="51" fillId="0" borderId="19" xfId="0" applyFont="1" applyBorder="1" applyAlignment="1">
      <alignment/>
    </xf>
    <xf numFmtId="165" fontId="8" fillId="0" borderId="0" xfId="8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150" applyNumberFormat="1" applyFont="1" applyBorder="1" applyAlignment="1">
      <alignment horizontal="center" wrapText="1"/>
    </xf>
    <xf numFmtId="165" fontId="10" fillId="0" borderId="0" xfId="81" applyNumberFormat="1" applyFont="1" applyBorder="1" applyAlignment="1">
      <alignment horizontal="center" wrapText="1"/>
    </xf>
    <xf numFmtId="9" fontId="10" fillId="0" borderId="19" xfId="150" applyFont="1" applyBorder="1" applyAlignment="1">
      <alignment horizontal="center"/>
    </xf>
    <xf numFmtId="0" fontId="10" fillId="0" borderId="32" xfId="0" applyFont="1" applyBorder="1" applyAlignment="1">
      <alignment/>
    </xf>
    <xf numFmtId="165" fontId="10" fillId="0" borderId="12" xfId="81" applyNumberFormat="1" applyFont="1" applyBorder="1" applyAlignment="1">
      <alignment horizontal="center" wrapText="1"/>
    </xf>
    <xf numFmtId="10" fontId="51" fillId="0" borderId="14" xfId="150" applyNumberFormat="1" applyFont="1" applyBorder="1" applyAlignment="1">
      <alignment horizontal="center" wrapText="1"/>
    </xf>
    <xf numFmtId="9" fontId="10" fillId="0" borderId="14" xfId="150" applyFont="1" applyBorder="1" applyAlignment="1">
      <alignment horizontal="center"/>
    </xf>
    <xf numFmtId="10" fontId="10" fillId="0" borderId="11" xfId="150" applyNumberFormat="1" applyFont="1" applyBorder="1" applyAlignment="1">
      <alignment horizontal="center"/>
    </xf>
    <xf numFmtId="10" fontId="51" fillId="0" borderId="0" xfId="150" applyNumberFormat="1" applyFont="1" applyBorder="1" applyAlignment="1">
      <alignment horizontal="center"/>
    </xf>
    <xf numFmtId="10" fontId="10" fillId="0" borderId="0" xfId="150" applyNumberFormat="1" applyFont="1" applyBorder="1" applyAlignment="1">
      <alignment horizontal="center"/>
    </xf>
    <xf numFmtId="10" fontId="8" fillId="0" borderId="0" xfId="150" applyNumberFormat="1" applyFont="1" applyBorder="1" applyAlignment="1">
      <alignment horizontal="center" wrapText="1"/>
    </xf>
    <xf numFmtId="39" fontId="9" fillId="0" borderId="48" xfId="81" applyNumberFormat="1" applyFont="1" applyFill="1" applyBorder="1" applyAlignment="1">
      <alignment horizontal="center"/>
    </xf>
    <xf numFmtId="39" fontId="9" fillId="0" borderId="17" xfId="81" applyNumberFormat="1" applyFont="1" applyFill="1" applyBorder="1" applyAlignment="1">
      <alignment horizontal="center"/>
    </xf>
    <xf numFmtId="39" fontId="9" fillId="0" borderId="49" xfId="81" applyNumberFormat="1" applyFont="1" applyFill="1" applyBorder="1" applyAlignment="1">
      <alignment horizontal="center"/>
    </xf>
    <xf numFmtId="49" fontId="52" fillId="0" borderId="50" xfId="0" applyNumberFormat="1" applyFont="1" applyBorder="1" applyAlignment="1">
      <alignment horizontal="center" vertical="center"/>
    </xf>
    <xf numFmtId="49" fontId="52" fillId="0" borderId="35" xfId="0" applyNumberFormat="1" applyFont="1" applyBorder="1" applyAlignment="1">
      <alignment horizontal="center" vertical="center"/>
    </xf>
    <xf numFmtId="0" fontId="52" fillId="0" borderId="35" xfId="0" applyFont="1" applyFill="1" applyBorder="1" applyAlignment="1">
      <alignment vertical="center" wrapText="1"/>
    </xf>
    <xf numFmtId="165" fontId="49" fillId="0" borderId="23" xfId="81" applyNumberFormat="1" applyFont="1" applyFill="1" applyBorder="1" applyAlignment="1">
      <alignment vertical="center"/>
    </xf>
    <xf numFmtId="39" fontId="49" fillId="0" borderId="51" xfId="81" applyNumberFormat="1" applyFont="1" applyFill="1" applyBorder="1" applyAlignment="1">
      <alignment horizontal="center" vertical="center"/>
    </xf>
    <xf numFmtId="39" fontId="49" fillId="0" borderId="52" xfId="81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214" fontId="9" fillId="0" borderId="53" xfId="0" applyNumberFormat="1" applyFont="1" applyBorder="1" applyAlignment="1" applyProtection="1">
      <alignment vertical="top"/>
      <protection locked="0"/>
    </xf>
    <xf numFmtId="214" fontId="9" fillId="0" borderId="54" xfId="0" applyNumberFormat="1" applyFont="1" applyBorder="1" applyAlignment="1" applyProtection="1">
      <alignment vertical="top"/>
      <protection locked="0"/>
    </xf>
    <xf numFmtId="206" fontId="9" fillId="0" borderId="15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horizontal="right" vertical="center"/>
    </xf>
    <xf numFmtId="206" fontId="9" fillId="0" borderId="15" xfId="81" applyNumberFormat="1" applyFont="1" applyFill="1" applyBorder="1" applyAlignment="1">
      <alignment horizontal="center" vertical="center"/>
    </xf>
    <xf numFmtId="206" fontId="9" fillId="0" borderId="15" xfId="0" applyNumberFormat="1" applyFont="1" applyFill="1" applyBorder="1" applyAlignment="1">
      <alignment horizontal="right" vertical="center"/>
    </xf>
    <xf numFmtId="214" fontId="9" fillId="0" borderId="55" xfId="0" applyNumberFormat="1" applyFont="1" applyBorder="1" applyAlignment="1" applyProtection="1">
      <alignment vertical="top"/>
      <protection locked="0"/>
    </xf>
    <xf numFmtId="43" fontId="9" fillId="0" borderId="40" xfId="81" applyNumberFormat="1" applyFont="1" applyFill="1" applyBorder="1" applyAlignment="1">
      <alignment horizontal="center" vertical="center"/>
    </xf>
    <xf numFmtId="43" fontId="9" fillId="0" borderId="40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vertical="center"/>
    </xf>
    <xf numFmtId="43" fontId="9" fillId="0" borderId="40" xfId="0" applyNumberFormat="1" applyFont="1" applyFill="1" applyBorder="1" applyAlignment="1">
      <alignment vertical="center"/>
    </xf>
    <xf numFmtId="206" fontId="9" fillId="0" borderId="15" xfId="0" applyNumberFormat="1" applyFont="1" applyFill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205" fontId="9" fillId="0" borderId="56" xfId="0" applyNumberFormat="1" applyFont="1" applyBorder="1" applyAlignment="1">
      <alignment horizontal="left" vertical="center"/>
    </xf>
    <xf numFmtId="205" fontId="9" fillId="0" borderId="57" xfId="0" applyNumberFormat="1" applyFont="1" applyBorder="1" applyAlignment="1">
      <alignment horizontal="left" vertical="center"/>
    </xf>
    <xf numFmtId="0" fontId="54" fillId="0" borderId="36" xfId="0" applyFont="1" applyFill="1" applyBorder="1" applyAlignment="1">
      <alignment vertical="center" wrapText="1"/>
    </xf>
    <xf numFmtId="205" fontId="9" fillId="0" borderId="58" xfId="0" applyNumberFormat="1" applyFont="1" applyBorder="1" applyAlignment="1">
      <alignment horizontal="left" vertical="center"/>
    </xf>
    <xf numFmtId="205" fontId="9" fillId="0" borderId="59" xfId="0" applyNumberFormat="1" applyFont="1" applyBorder="1" applyAlignment="1">
      <alignment horizontal="left" vertical="center"/>
    </xf>
    <xf numFmtId="0" fontId="54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left" vertical="center" wrapText="1"/>
    </xf>
    <xf numFmtId="1" fontId="9" fillId="0" borderId="58" xfId="0" applyNumberFormat="1" applyFont="1" applyBorder="1" applyAlignment="1">
      <alignment horizontal="left" vertical="center"/>
    </xf>
    <xf numFmtId="205" fontId="9" fillId="0" borderId="60" xfId="0" applyNumberFormat="1" applyFont="1" applyBorder="1" applyAlignment="1">
      <alignment horizontal="left" vertical="center"/>
    </xf>
    <xf numFmtId="205" fontId="9" fillId="0" borderId="61" xfId="0" applyNumberFormat="1" applyFont="1" applyBorder="1" applyAlignment="1">
      <alignment horizontal="left" vertical="center"/>
    </xf>
    <xf numFmtId="0" fontId="54" fillId="0" borderId="38" xfId="0" applyFont="1" applyFill="1" applyBorder="1" applyAlignment="1">
      <alignment vertical="center" wrapText="1"/>
    </xf>
    <xf numFmtId="0" fontId="83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3" fontId="9" fillId="0" borderId="36" xfId="0" applyNumberFormat="1" applyFont="1" applyFill="1" applyBorder="1" applyAlignment="1">
      <alignment horizontal="right"/>
    </xf>
    <xf numFmtId="206" fontId="9" fillId="0" borderId="36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right"/>
    </xf>
    <xf numFmtId="206" fontId="9" fillId="0" borderId="38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165" fontId="54" fillId="0" borderId="7" xfId="83" applyNumberFormat="1" applyFont="1" applyFill="1" applyBorder="1" applyAlignment="1">
      <alignment horizontal="right"/>
    </xf>
    <xf numFmtId="165" fontId="18" fillId="26" borderId="0" xfId="81" applyNumberFormat="1" applyFont="1" applyFill="1" applyAlignment="1">
      <alignment/>
    </xf>
    <xf numFmtId="0" fontId="1" fillId="25" borderId="29" xfId="0" applyFont="1" applyFill="1" applyBorder="1" applyAlignment="1">
      <alignment horizontal="center" wrapText="1"/>
    </xf>
    <xf numFmtId="0" fontId="5" fillId="0" borderId="0" xfId="130" applyFont="1">
      <alignment/>
      <protection/>
    </xf>
    <xf numFmtId="0" fontId="26" fillId="0" borderId="30" xfId="130" applyFont="1" applyBorder="1">
      <alignment/>
      <protection/>
    </xf>
    <xf numFmtId="0" fontId="26" fillId="0" borderId="11" xfId="130" applyFont="1" applyBorder="1" applyAlignment="1">
      <alignment/>
      <protection/>
    </xf>
    <xf numFmtId="0" fontId="27" fillId="0" borderId="11" xfId="130" applyFont="1" applyBorder="1" applyAlignment="1">
      <alignment horizontal="center"/>
      <protection/>
    </xf>
    <xf numFmtId="10" fontId="27" fillId="0" borderId="11" xfId="151" applyNumberFormat="1" applyFont="1" applyBorder="1" applyAlignment="1">
      <alignment horizontal="center"/>
    </xf>
    <xf numFmtId="10" fontId="27" fillId="0" borderId="13" xfId="151" applyNumberFormat="1" applyFont="1" applyBorder="1" applyAlignment="1">
      <alignment horizontal="center"/>
    </xf>
    <xf numFmtId="0" fontId="7" fillId="0" borderId="0" xfId="130" applyFont="1">
      <alignment/>
      <protection/>
    </xf>
    <xf numFmtId="0" fontId="27" fillId="0" borderId="31" xfId="130" applyFont="1" applyBorder="1">
      <alignment/>
      <protection/>
    </xf>
    <xf numFmtId="0" fontId="19" fillId="0" borderId="0" xfId="130" applyFont="1" applyBorder="1" applyAlignment="1">
      <alignment/>
      <protection/>
    </xf>
    <xf numFmtId="0" fontId="19" fillId="0" borderId="0" xfId="130" applyFont="1" applyBorder="1" applyAlignment="1">
      <alignment horizontal="center"/>
      <protection/>
    </xf>
    <xf numFmtId="1" fontId="19" fillId="0" borderId="0" xfId="151" applyNumberFormat="1" applyFont="1" applyBorder="1" applyAlignment="1">
      <alignment horizontal="center"/>
    </xf>
    <xf numFmtId="0" fontId="27" fillId="0" borderId="19" xfId="130" applyFont="1" applyBorder="1">
      <alignment/>
      <protection/>
    </xf>
    <xf numFmtId="0" fontId="6" fillId="0" borderId="0" xfId="130" applyFont="1">
      <alignment/>
      <protection/>
    </xf>
    <xf numFmtId="1" fontId="28" fillId="0" borderId="0" xfId="151" applyNumberFormat="1" applyFont="1" applyBorder="1" applyAlignment="1">
      <alignment horizontal="center"/>
    </xf>
    <xf numFmtId="10" fontId="28" fillId="0" borderId="19" xfId="151" applyNumberFormat="1" applyFont="1" applyBorder="1" applyAlignment="1">
      <alignment horizontal="center" wrapText="1"/>
    </xf>
    <xf numFmtId="1" fontId="56" fillId="0" borderId="0" xfId="151" applyNumberFormat="1" applyFont="1" applyBorder="1" applyAlignment="1">
      <alignment horizontal="center" wrapText="1"/>
    </xf>
    <xf numFmtId="10" fontId="28" fillId="0" borderId="19" xfId="151" applyNumberFormat="1" applyFont="1" applyBorder="1" applyAlignment="1">
      <alignment horizontal="center" vertical="center" wrapText="1"/>
    </xf>
    <xf numFmtId="0" fontId="27" fillId="0" borderId="32" xfId="130" applyFont="1" applyBorder="1">
      <alignment/>
      <protection/>
    </xf>
    <xf numFmtId="0" fontId="27" fillId="0" borderId="12" xfId="130" applyFont="1" applyBorder="1" applyAlignment="1">
      <alignment/>
      <protection/>
    </xf>
    <xf numFmtId="1" fontId="28" fillId="0" borderId="12" xfId="151" applyNumberFormat="1" applyFont="1" applyBorder="1" applyAlignment="1">
      <alignment horizontal="center"/>
    </xf>
    <xf numFmtId="1" fontId="28" fillId="0" borderId="12" xfId="151" applyNumberFormat="1" applyFont="1" applyBorder="1" applyAlignment="1">
      <alignment/>
    </xf>
    <xf numFmtId="0" fontId="28" fillId="0" borderId="14" xfId="130" applyFont="1" applyBorder="1" applyAlignment="1">
      <alignment horizontal="center"/>
      <protection/>
    </xf>
    <xf numFmtId="0" fontId="84" fillId="0" borderId="0" xfId="130" applyFont="1">
      <alignment/>
      <protection/>
    </xf>
    <xf numFmtId="0" fontId="26" fillId="0" borderId="0" xfId="130" applyFont="1">
      <alignment/>
      <protection/>
    </xf>
    <xf numFmtId="0" fontId="26" fillId="0" borderId="0" xfId="130" applyFont="1" applyAlignment="1" quotePrefix="1">
      <alignment/>
      <protection/>
    </xf>
    <xf numFmtId="10" fontId="26" fillId="0" borderId="0" xfId="151" applyNumberFormat="1" applyFont="1" applyAlignment="1" quotePrefix="1">
      <alignment horizontal="right"/>
    </xf>
    <xf numFmtId="10" fontId="26" fillId="0" borderId="0" xfId="151" applyNumberFormat="1" applyFont="1" applyAlignment="1" quotePrefix="1">
      <alignment/>
    </xf>
    <xf numFmtId="10" fontId="26" fillId="0" borderId="0" xfId="151" applyNumberFormat="1" applyFont="1" applyAlignment="1" quotePrefix="1">
      <alignment horizontal="center"/>
    </xf>
    <xf numFmtId="49" fontId="20" fillId="0" borderId="56" xfId="130" applyNumberFormat="1" applyFont="1" applyBorder="1" applyAlignment="1">
      <alignment horizontal="left"/>
      <protection/>
    </xf>
    <xf numFmtId="0" fontId="21" fillId="0" borderId="36" xfId="130" applyFont="1" applyFill="1" applyBorder="1" applyAlignment="1">
      <alignment wrapText="1"/>
      <protection/>
    </xf>
    <xf numFmtId="39" fontId="20" fillId="0" borderId="62" xfId="85" applyNumberFormat="1" applyFont="1" applyFill="1" applyBorder="1" applyAlignment="1">
      <alignment horizontal="center"/>
    </xf>
    <xf numFmtId="10" fontId="7" fillId="0" borderId="0" xfId="151" applyNumberFormat="1" applyFont="1" applyAlignment="1">
      <alignment/>
    </xf>
    <xf numFmtId="49" fontId="20" fillId="0" borderId="58" xfId="130" applyNumberFormat="1" applyFont="1" applyBorder="1" applyAlignment="1">
      <alignment horizontal="left"/>
      <protection/>
    </xf>
    <xf numFmtId="0" fontId="21" fillId="0" borderId="15" xfId="130" applyFont="1" applyFill="1" applyBorder="1" applyAlignment="1">
      <alignment wrapText="1"/>
      <protection/>
    </xf>
    <xf numFmtId="39" fontId="20" fillId="0" borderId="45" xfId="85" applyNumberFormat="1" applyFont="1" applyFill="1" applyBorder="1" applyAlignment="1">
      <alignment horizontal="left"/>
    </xf>
    <xf numFmtId="39" fontId="20" fillId="0" borderId="15" xfId="85" applyNumberFormat="1" applyFont="1" applyFill="1" applyBorder="1" applyAlignment="1">
      <alignment horizontal="center"/>
    </xf>
    <xf numFmtId="49" fontId="20" fillId="0" borderId="63" xfId="130" applyNumberFormat="1" applyFont="1" applyBorder="1" applyAlignment="1">
      <alignment horizontal="left"/>
      <protection/>
    </xf>
    <xf numFmtId="0" fontId="21" fillId="0" borderId="37" xfId="130" applyFont="1" applyFill="1" applyBorder="1" applyAlignment="1">
      <alignment wrapText="1"/>
      <protection/>
    </xf>
    <xf numFmtId="49" fontId="18" fillId="0" borderId="34" xfId="130" applyNumberFormat="1" applyFont="1" applyBorder="1" applyAlignment="1">
      <alignment horizontal="left"/>
      <protection/>
    </xf>
    <xf numFmtId="0" fontId="24" fillId="0" borderId="34" xfId="130" applyFont="1" applyFill="1" applyBorder="1" applyAlignment="1">
      <alignment wrapText="1"/>
      <protection/>
    </xf>
    <xf numFmtId="39" fontId="20" fillId="0" borderId="34" xfId="85" applyNumberFormat="1" applyFont="1" applyFill="1" applyBorder="1" applyAlignment="1">
      <alignment horizontal="center"/>
    </xf>
    <xf numFmtId="49" fontId="32" fillId="0" borderId="50" xfId="130" applyNumberFormat="1" applyFont="1" applyBorder="1" applyAlignment="1">
      <alignment horizontal="center"/>
      <protection/>
    </xf>
    <xf numFmtId="0" fontId="85" fillId="0" borderId="34" xfId="130" applyFont="1" applyFill="1" applyBorder="1" applyAlignment="1">
      <alignment wrapText="1"/>
      <protection/>
    </xf>
    <xf numFmtId="39" fontId="86" fillId="0" borderId="34" xfId="85" applyNumberFormat="1" applyFont="1" applyFill="1" applyBorder="1" applyAlignment="1">
      <alignment horizontal="center"/>
    </xf>
    <xf numFmtId="49" fontId="12" fillId="0" borderId="0" xfId="130" applyNumberFormat="1" applyFont="1" applyBorder="1" applyAlignment="1">
      <alignment horizontal="center"/>
      <protection/>
    </xf>
    <xf numFmtId="0" fontId="13" fillId="0" borderId="0" xfId="130" applyFont="1" applyFill="1" applyBorder="1" applyAlignment="1">
      <alignment wrapText="1"/>
      <protection/>
    </xf>
    <xf numFmtId="39" fontId="9" fillId="0" borderId="0" xfId="85" applyNumberFormat="1" applyFont="1" applyFill="1" applyBorder="1" applyAlignment="1">
      <alignment horizontal="center"/>
    </xf>
    <xf numFmtId="49" fontId="29" fillId="0" borderId="0" xfId="130" applyNumberFormat="1" applyFont="1" applyFill="1" applyBorder="1" applyAlignment="1">
      <alignment horizontal="left"/>
      <protection/>
    </xf>
    <xf numFmtId="167" fontId="29" fillId="0" borderId="0" xfId="130" applyNumberFormat="1" applyFont="1" applyAlignment="1">
      <alignment horizontal="left"/>
      <protection/>
    </xf>
    <xf numFmtId="0" fontId="30" fillId="0" borderId="0" xfId="130" applyFont="1">
      <alignment/>
      <protection/>
    </xf>
    <xf numFmtId="0" fontId="29" fillId="0" borderId="0" xfId="130" applyFont="1">
      <alignment/>
      <protection/>
    </xf>
    <xf numFmtId="49" fontId="31" fillId="0" borderId="0" xfId="130" applyNumberFormat="1" applyFont="1" applyFill="1" applyBorder="1">
      <alignment/>
      <protection/>
    </xf>
    <xf numFmtId="39" fontId="31" fillId="0" borderId="0" xfId="85" applyNumberFormat="1" applyFont="1" applyFill="1" applyBorder="1" applyAlignment="1">
      <alignment horizontal="center"/>
    </xf>
    <xf numFmtId="0" fontId="7" fillId="0" borderId="0" xfId="130" applyFont="1" applyAlignment="1">
      <alignment/>
      <protection/>
    </xf>
    <xf numFmtId="0" fontId="84" fillId="0" borderId="0" xfId="130" applyFont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39" fontId="51" fillId="0" borderId="64" xfId="85" applyNumberFormat="1" applyFont="1" applyFill="1" applyBorder="1" applyAlignment="1">
      <alignment horizontal="center"/>
    </xf>
    <xf numFmtId="39" fontId="51" fillId="0" borderId="19" xfId="85" applyNumberFormat="1" applyFont="1" applyFill="1" applyBorder="1" applyAlignment="1">
      <alignment horizontal="center"/>
    </xf>
    <xf numFmtId="39" fontId="51" fillId="0" borderId="14" xfId="85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19" fillId="0" borderId="0" xfId="0" applyFont="1" applyFill="1" applyBorder="1" applyAlignment="1" quotePrefix="1">
      <alignment vertical="center"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39" fontId="20" fillId="0" borderId="65" xfId="85" applyNumberFormat="1" applyFont="1" applyFill="1" applyBorder="1" applyAlignment="1">
      <alignment horizontal="left"/>
    </xf>
    <xf numFmtId="39" fontId="20" fillId="0" borderId="17" xfId="85" applyNumberFormat="1" applyFont="1" applyFill="1" applyBorder="1" applyAlignment="1">
      <alignment horizontal="left"/>
    </xf>
    <xf numFmtId="39" fontId="51" fillId="0" borderId="13" xfId="85" applyNumberFormat="1" applyFont="1" applyFill="1" applyBorder="1" applyAlignment="1">
      <alignment horizontal="center"/>
    </xf>
    <xf numFmtId="49" fontId="25" fillId="0" borderId="0" xfId="130" applyNumberFormat="1" applyFont="1" applyFill="1" applyBorder="1" applyAlignment="1">
      <alignment/>
      <protection/>
    </xf>
    <xf numFmtId="165" fontId="10" fillId="0" borderId="12" xfId="81" applyNumberFormat="1" applyFont="1" applyFill="1" applyBorder="1" applyAlignment="1">
      <alignment horizontal="center" wrapText="1"/>
    </xf>
    <xf numFmtId="165" fontId="51" fillId="0" borderId="12" xfId="81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/>
    </xf>
    <xf numFmtId="10" fontId="53" fillId="0" borderId="12" xfId="15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39" fontId="8" fillId="0" borderId="17" xfId="81" applyNumberFormat="1" applyFont="1" applyFill="1" applyBorder="1" applyAlignment="1">
      <alignment horizontal="center"/>
    </xf>
    <xf numFmtId="4" fontId="20" fillId="0" borderId="66" xfId="85" applyNumberFormat="1" applyFont="1" applyFill="1" applyBorder="1" applyAlignment="1">
      <alignment horizontal="center"/>
    </xf>
    <xf numFmtId="4" fontId="20" fillId="0" borderId="40" xfId="85" applyNumberFormat="1" applyFont="1" applyFill="1" applyBorder="1" applyAlignment="1">
      <alignment horizontal="center"/>
    </xf>
    <xf numFmtId="4" fontId="20" fillId="0" borderId="67" xfId="85" applyNumberFormat="1" applyFont="1" applyFill="1" applyBorder="1" applyAlignment="1">
      <alignment horizontal="center"/>
    </xf>
    <xf numFmtId="4" fontId="20" fillId="0" borderId="34" xfId="85" applyNumberFormat="1" applyFont="1" applyFill="1" applyBorder="1" applyAlignment="1">
      <alignment horizontal="center"/>
    </xf>
    <xf numFmtId="4" fontId="86" fillId="0" borderId="52" xfId="85" applyNumberFormat="1" applyFont="1" applyFill="1" applyBorder="1" applyAlignment="1">
      <alignment horizontal="center"/>
    </xf>
    <xf numFmtId="206" fontId="20" fillId="0" borderId="0" xfId="0" applyNumberFormat="1" applyFont="1" applyAlignment="1">
      <alignment vertical="center"/>
    </xf>
    <xf numFmtId="43" fontId="9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10" fontId="7" fillId="0" borderId="0" xfId="154" applyNumberFormat="1" applyFont="1" applyAlignment="1">
      <alignment/>
    </xf>
    <xf numFmtId="0" fontId="57" fillId="0" borderId="0" xfId="142" applyFont="1" applyBorder="1" applyAlignment="1">
      <alignment horizontal="center"/>
      <protection/>
    </xf>
    <xf numFmtId="0" fontId="9" fillId="0" borderId="0" xfId="141" applyFont="1">
      <alignment/>
      <protection/>
    </xf>
    <xf numFmtId="0" fontId="58" fillId="0" borderId="0" xfId="142" applyFont="1">
      <alignment/>
      <protection/>
    </xf>
    <xf numFmtId="0" fontId="59" fillId="0" borderId="0" xfId="142" applyFont="1" applyBorder="1" applyAlignment="1">
      <alignment horizontal="center" vertical="center"/>
      <protection/>
    </xf>
    <xf numFmtId="0" fontId="2" fillId="0" borderId="0" xfId="125">
      <alignment/>
      <protection/>
    </xf>
    <xf numFmtId="0" fontId="60" fillId="0" borderId="0" xfId="142" applyFont="1" applyBorder="1" applyAlignment="1">
      <alignment horizontal="center" vertical="top"/>
      <protection/>
    </xf>
    <xf numFmtId="0" fontId="61" fillId="0" borderId="0" xfId="142" applyFont="1">
      <alignment/>
      <protection/>
    </xf>
    <xf numFmtId="0" fontId="62" fillId="0" borderId="68" xfId="142" applyFont="1" applyBorder="1" applyAlignment="1">
      <alignment horizontal="center" vertical="center"/>
      <protection/>
    </xf>
    <xf numFmtId="0" fontId="62" fillId="0" borderId="68" xfId="142" applyFont="1" applyBorder="1" applyAlignment="1">
      <alignment vertical="center"/>
      <protection/>
    </xf>
    <xf numFmtId="0" fontId="62" fillId="0" borderId="69" xfId="142" applyFont="1" applyBorder="1" applyAlignment="1">
      <alignment horizontal="center" vertical="center"/>
      <protection/>
    </xf>
    <xf numFmtId="0" fontId="62" fillId="0" borderId="0" xfId="142" applyFont="1">
      <alignment/>
      <protection/>
    </xf>
    <xf numFmtId="0" fontId="62" fillId="0" borderId="70" xfId="142" applyFont="1" applyBorder="1" applyAlignment="1">
      <alignment horizontal="center" vertical="center"/>
      <protection/>
    </xf>
    <xf numFmtId="0" fontId="62" fillId="0" borderId="70" xfId="142" applyFont="1" applyBorder="1" applyAlignment="1">
      <alignment vertical="center"/>
      <protection/>
    </xf>
    <xf numFmtId="0" fontId="62" fillId="0" borderId="71" xfId="142" applyFont="1" applyBorder="1" applyAlignment="1">
      <alignment horizontal="center" vertical="center"/>
      <protection/>
    </xf>
    <xf numFmtId="168" fontId="87" fillId="0" borderId="0" xfId="83" applyNumberFormat="1" applyFont="1" applyAlignment="1">
      <alignment horizontal="center" vertical="top"/>
    </xf>
    <xf numFmtId="0" fontId="62" fillId="0" borderId="0" xfId="142" applyFont="1" applyAlignment="1">
      <alignment vertical="top"/>
      <protection/>
    </xf>
    <xf numFmtId="0" fontId="13" fillId="0" borderId="29" xfId="143" applyFont="1" applyFill="1" applyBorder="1" applyAlignment="1">
      <alignment horizontal="center" wrapText="1"/>
      <protection/>
    </xf>
    <xf numFmtId="0" fontId="13" fillId="0" borderId="72" xfId="143" applyFont="1" applyFill="1" applyBorder="1" applyAlignment="1">
      <alignment wrapText="1"/>
      <protection/>
    </xf>
    <xf numFmtId="2" fontId="63" fillId="0" borderId="72" xfId="96" applyNumberFormat="1" applyFont="1" applyBorder="1" applyAlignment="1">
      <alignment horizontal="center"/>
    </xf>
    <xf numFmtId="2" fontId="63" fillId="0" borderId="73" xfId="96" applyNumberFormat="1" applyFont="1" applyBorder="1" applyAlignment="1">
      <alignment horizontal="center"/>
    </xf>
    <xf numFmtId="2" fontId="63" fillId="0" borderId="74" xfId="96" applyNumberFormat="1" applyFont="1" applyBorder="1" applyAlignment="1">
      <alignment horizontal="center"/>
    </xf>
    <xf numFmtId="168" fontId="88" fillId="0" borderId="0" xfId="83" applyNumberFormat="1" applyFont="1" applyAlignment="1">
      <alignment horizontal="center"/>
    </xf>
    <xf numFmtId="0" fontId="64" fillId="0" borderId="0" xfId="142" applyFont="1">
      <alignment/>
      <protection/>
    </xf>
    <xf numFmtId="0" fontId="13" fillId="0" borderId="72" xfId="143" applyFont="1" applyFill="1" applyBorder="1" applyAlignment="1">
      <alignment horizontal="center" wrapText="1"/>
      <protection/>
    </xf>
    <xf numFmtId="2" fontId="63" fillId="0" borderId="75" xfId="96" applyNumberFormat="1" applyFont="1" applyBorder="1" applyAlignment="1">
      <alignment horizontal="center"/>
    </xf>
    <xf numFmtId="2" fontId="63" fillId="0" borderId="76" xfId="96" applyNumberFormat="1" applyFont="1" applyBorder="1" applyAlignment="1">
      <alignment horizontal="center"/>
    </xf>
    <xf numFmtId="0" fontId="12" fillId="0" borderId="25" xfId="141" applyFont="1" applyBorder="1">
      <alignment/>
      <protection/>
    </xf>
    <xf numFmtId="0" fontId="13" fillId="0" borderId="29" xfId="143" applyFont="1" applyFill="1" applyBorder="1" applyAlignment="1" quotePrefix="1">
      <alignment horizontal="center" wrapText="1"/>
      <protection/>
    </xf>
    <xf numFmtId="0" fontId="13" fillId="0" borderId="72" xfId="143" applyFont="1" applyFill="1" applyBorder="1" applyAlignment="1" quotePrefix="1">
      <alignment horizontal="center" wrapText="1"/>
      <protection/>
    </xf>
    <xf numFmtId="0" fontId="12" fillId="0" borderId="0" xfId="141" applyFont="1" applyBorder="1">
      <alignment/>
      <protection/>
    </xf>
    <xf numFmtId="0" fontId="13" fillId="0" borderId="0" xfId="143" applyFont="1" applyFill="1" applyBorder="1" applyAlignment="1">
      <alignment horizontal="center" wrapText="1"/>
      <protection/>
    </xf>
    <xf numFmtId="0" fontId="13" fillId="0" borderId="0" xfId="143" applyFont="1" applyFill="1" applyBorder="1" applyAlignment="1">
      <alignment wrapText="1"/>
      <protection/>
    </xf>
    <xf numFmtId="2" fontId="63" fillId="0" borderId="0" xfId="96" applyNumberFormat="1" applyFont="1" applyBorder="1" applyAlignment="1">
      <alignment horizontal="center"/>
    </xf>
    <xf numFmtId="0" fontId="13" fillId="0" borderId="0" xfId="142" applyFont="1" applyAlignment="1">
      <alignment horizontal="center"/>
      <protection/>
    </xf>
    <xf numFmtId="0" fontId="64" fillId="0" borderId="0" xfId="142" applyFont="1" applyAlignment="1">
      <alignment horizontal="center"/>
      <protection/>
    </xf>
    <xf numFmtId="165" fontId="64" fillId="0" borderId="0" xfId="86" applyNumberFormat="1" applyFont="1" applyAlignment="1">
      <alignment/>
    </xf>
    <xf numFmtId="165" fontId="64" fillId="0" borderId="0" xfId="86" applyNumberFormat="1" applyFont="1" applyAlignment="1">
      <alignment horizontal="center"/>
    </xf>
    <xf numFmtId="167" fontId="12" fillId="0" borderId="0" xfId="142" applyNumberFormat="1" applyFont="1" applyAlignment="1">
      <alignment horizontal="left"/>
      <protection/>
    </xf>
    <xf numFmtId="0" fontId="13" fillId="0" borderId="0" xfId="142" applyFont="1">
      <alignment/>
      <protection/>
    </xf>
    <xf numFmtId="165" fontId="13" fillId="0" borderId="0" xfId="86" applyNumberFormat="1" applyFont="1" applyAlignment="1">
      <alignment/>
    </xf>
    <xf numFmtId="165" fontId="13" fillId="0" borderId="0" xfId="86" applyNumberFormat="1" applyFont="1" applyAlignment="1">
      <alignment horizontal="center"/>
    </xf>
    <xf numFmtId="0" fontId="65" fillId="0" borderId="0" xfId="141" applyFont="1">
      <alignment/>
      <protection/>
    </xf>
    <xf numFmtId="0" fontId="66" fillId="0" borderId="0" xfId="142" applyFont="1">
      <alignment/>
      <protection/>
    </xf>
    <xf numFmtId="0" fontId="12" fillId="0" borderId="0" xfId="142" applyFont="1">
      <alignment/>
      <protection/>
    </xf>
    <xf numFmtId="0" fontId="67" fillId="0" borderId="0" xfId="125" applyFont="1" applyBorder="1" applyAlignment="1">
      <alignment horizontal="center"/>
      <protection/>
    </xf>
    <xf numFmtId="0" fontId="89" fillId="0" borderId="0" xfId="125" applyFont="1" applyBorder="1" applyAlignment="1">
      <alignment horizontal="center"/>
      <protection/>
    </xf>
    <xf numFmtId="0" fontId="9" fillId="0" borderId="0" xfId="125" applyFont="1">
      <alignment/>
      <protection/>
    </xf>
    <xf numFmtId="0" fontId="61" fillId="0" borderId="0" xfId="125" applyFont="1">
      <alignment/>
      <protection/>
    </xf>
    <xf numFmtId="0" fontId="60" fillId="0" borderId="0" xfId="125" applyFont="1" applyBorder="1" applyAlignment="1">
      <alignment horizontal="center" vertical="top"/>
      <protection/>
    </xf>
    <xf numFmtId="0" fontId="89" fillId="0" borderId="0" xfId="125" applyFont="1" applyBorder="1" applyAlignment="1">
      <alignment horizontal="center" vertical="top"/>
      <protection/>
    </xf>
    <xf numFmtId="42" fontId="89" fillId="0" borderId="0" xfId="125" applyNumberFormat="1" applyFont="1" applyBorder="1" applyAlignment="1">
      <alignment horizontal="center"/>
      <protection/>
    </xf>
    <xf numFmtId="0" fontId="62" fillId="0" borderId="68" xfId="125" applyFont="1" applyBorder="1" applyAlignment="1">
      <alignment horizontal="center"/>
      <protection/>
    </xf>
    <xf numFmtId="0" fontId="62" fillId="0" borderId="68" xfId="125" applyFont="1" applyBorder="1">
      <alignment/>
      <protection/>
    </xf>
    <xf numFmtId="42" fontId="62" fillId="0" borderId="68" xfId="125" applyNumberFormat="1" applyFont="1" applyBorder="1" applyAlignment="1">
      <alignment horizontal="center"/>
      <protection/>
    </xf>
    <xf numFmtId="6" fontId="62" fillId="0" borderId="68" xfId="125" applyNumberFormat="1" applyFont="1" applyBorder="1" applyAlignment="1">
      <alignment horizontal="center"/>
      <protection/>
    </xf>
    <xf numFmtId="6" fontId="62" fillId="0" borderId="69" xfId="125" applyNumberFormat="1" applyFont="1" applyBorder="1" applyAlignment="1">
      <alignment horizontal="center"/>
      <protection/>
    </xf>
    <xf numFmtId="0" fontId="62" fillId="0" borderId="69" xfId="125" applyFont="1" applyBorder="1" applyAlignment="1">
      <alignment horizontal="center"/>
      <protection/>
    </xf>
    <xf numFmtId="0" fontId="90" fillId="0" borderId="0" xfId="125" applyFont="1" applyBorder="1" applyAlignment="1">
      <alignment horizontal="center"/>
      <protection/>
    </xf>
    <xf numFmtId="0" fontId="8" fillId="0" borderId="0" xfId="125" applyFont="1">
      <alignment/>
      <protection/>
    </xf>
    <xf numFmtId="0" fontId="62" fillId="0" borderId="0" xfId="125" applyFont="1">
      <alignment/>
      <protection/>
    </xf>
    <xf numFmtId="0" fontId="62" fillId="0" borderId="70" xfId="125" applyFont="1" applyBorder="1" applyAlignment="1">
      <alignment horizontal="center" vertical="top"/>
      <protection/>
    </xf>
    <xf numFmtId="0" fontId="62" fillId="0" borderId="70" xfId="125" applyFont="1" applyBorder="1" applyAlignment="1">
      <alignment vertical="top"/>
      <protection/>
    </xf>
    <xf numFmtId="42" fontId="62" fillId="0" borderId="70" xfId="125" applyNumberFormat="1" applyFont="1" applyBorder="1" applyAlignment="1">
      <alignment horizontal="center" vertical="top"/>
      <protection/>
    </xf>
    <xf numFmtId="6" fontId="62" fillId="0" borderId="70" xfId="125" applyNumberFormat="1" applyFont="1" applyBorder="1" applyAlignment="1">
      <alignment horizontal="center" vertical="top"/>
      <protection/>
    </xf>
    <xf numFmtId="6" fontId="62" fillId="0" borderId="71" xfId="125" applyNumberFormat="1" applyFont="1" applyBorder="1" applyAlignment="1">
      <alignment horizontal="center" vertical="top"/>
      <protection/>
    </xf>
    <xf numFmtId="0" fontId="62" fillId="0" borderId="71" xfId="125" applyFont="1" applyBorder="1" applyAlignment="1">
      <alignment horizontal="center" vertical="top"/>
      <protection/>
    </xf>
    <xf numFmtId="0" fontId="8" fillId="0" borderId="0" xfId="125" applyFont="1" applyAlignment="1">
      <alignment vertical="top"/>
      <protection/>
    </xf>
    <xf numFmtId="0" fontId="62" fillId="0" borderId="0" xfId="125" applyFont="1" applyAlignment="1">
      <alignment vertical="top"/>
      <protection/>
    </xf>
    <xf numFmtId="0" fontId="68" fillId="0" borderId="29" xfId="143" applyFont="1" applyFill="1" applyBorder="1" applyAlignment="1">
      <alignment horizontal="center" wrapText="1"/>
      <protection/>
    </xf>
    <xf numFmtId="0" fontId="68" fillId="0" borderId="72" xfId="143" applyFont="1" applyFill="1" applyBorder="1" applyAlignment="1">
      <alignment wrapText="1"/>
      <protection/>
    </xf>
    <xf numFmtId="165" fontId="68" fillId="0" borderId="72" xfId="83" applyNumberFormat="1" applyFont="1" applyFill="1" applyBorder="1" applyAlignment="1">
      <alignment horizontal="right" wrapText="1"/>
    </xf>
    <xf numFmtId="2" fontId="11" fillId="0" borderId="72" xfId="95" applyNumberFormat="1" applyFont="1" applyBorder="1" applyAlignment="1">
      <alignment horizontal="center"/>
    </xf>
    <xf numFmtId="6" fontId="88" fillId="0" borderId="0" xfId="125" applyNumberFormat="1" applyFont="1" applyAlignment="1">
      <alignment horizontal="center"/>
      <protection/>
    </xf>
    <xf numFmtId="0" fontId="54" fillId="0" borderId="0" xfId="125" applyFont="1">
      <alignment/>
      <protection/>
    </xf>
    <xf numFmtId="0" fontId="68" fillId="0" borderId="0" xfId="125" applyFont="1">
      <alignment/>
      <protection/>
    </xf>
    <xf numFmtId="0" fontId="68" fillId="0" borderId="72" xfId="143" applyFont="1" applyFill="1" applyBorder="1" applyAlignment="1">
      <alignment horizontal="center" wrapText="1"/>
      <protection/>
    </xf>
    <xf numFmtId="0" fontId="68" fillId="0" borderId="29" xfId="143" applyFont="1" applyFill="1" applyBorder="1" applyAlignment="1" quotePrefix="1">
      <alignment horizontal="center" wrapText="1"/>
      <protection/>
    </xf>
    <xf numFmtId="0" fontId="68" fillId="0" borderId="72" xfId="143" applyFont="1" applyFill="1" applyBorder="1" applyAlignment="1" quotePrefix="1">
      <alignment horizontal="center" wrapText="1"/>
      <protection/>
    </xf>
    <xf numFmtId="0" fontId="8" fillId="0" borderId="0" xfId="125" applyFont="1" applyAlignment="1">
      <alignment horizontal="center"/>
      <protection/>
    </xf>
    <xf numFmtId="165" fontId="9" fillId="0" borderId="26" xfId="83" applyNumberFormat="1" applyFont="1" applyBorder="1" applyAlignment="1">
      <alignment/>
    </xf>
    <xf numFmtId="165" fontId="9" fillId="0" borderId="77" xfId="83" applyNumberFormat="1" applyFont="1" applyBorder="1" applyAlignment="1">
      <alignment/>
    </xf>
    <xf numFmtId="165" fontId="9" fillId="0" borderId="78" xfId="83" applyNumberFormat="1" applyFont="1" applyBorder="1" applyAlignment="1">
      <alignment/>
    </xf>
    <xf numFmtId="165" fontId="9" fillId="0" borderId="28" xfId="83" applyNumberFormat="1" applyFont="1" applyBorder="1" applyAlignment="1">
      <alignment/>
    </xf>
    <xf numFmtId="165" fontId="9" fillId="0" borderId="79" xfId="83" applyNumberFormat="1" applyFont="1" applyBorder="1" applyAlignment="1">
      <alignment/>
    </xf>
    <xf numFmtId="165" fontId="9" fillId="0" borderId="80" xfId="83" applyNumberFormat="1" applyFont="1" applyBorder="1" applyAlignment="1">
      <alignment/>
    </xf>
    <xf numFmtId="0" fontId="51" fillId="0" borderId="0" xfId="125" applyFont="1">
      <alignment/>
      <protection/>
    </xf>
    <xf numFmtId="0" fontId="50" fillId="0" borderId="0" xfId="125" applyFont="1">
      <alignment/>
      <protection/>
    </xf>
    <xf numFmtId="0" fontId="64" fillId="0" borderId="0" xfId="125" applyFont="1" applyAlignment="1">
      <alignment horizontal="center"/>
      <protection/>
    </xf>
    <xf numFmtId="0" fontId="64" fillId="0" borderId="0" xfId="125" applyFont="1">
      <alignment/>
      <protection/>
    </xf>
    <xf numFmtId="42" fontId="64" fillId="0" borderId="0" xfId="83" applyNumberFormat="1" applyFont="1" applyAlignment="1">
      <alignment/>
    </xf>
    <xf numFmtId="165" fontId="64" fillId="0" borderId="0" xfId="83" applyNumberFormat="1" applyFont="1" applyAlignment="1">
      <alignment/>
    </xf>
    <xf numFmtId="0" fontId="91" fillId="0" borderId="0" xfId="125" applyFont="1" applyAlignment="1">
      <alignment horizontal="center"/>
      <protection/>
    </xf>
    <xf numFmtId="0" fontId="67" fillId="0" borderId="0" xfId="128" applyFont="1" applyBorder="1" applyAlignment="1">
      <alignment horizontal="center"/>
      <protection/>
    </xf>
    <xf numFmtId="168" fontId="91" fillId="0" borderId="0" xfId="84" applyNumberFormat="1" applyFont="1" applyAlignment="1">
      <alignment horizontal="center"/>
    </xf>
    <xf numFmtId="0" fontId="61" fillId="0" borderId="0" xfId="128" applyFont="1">
      <alignment/>
      <protection/>
    </xf>
    <xf numFmtId="0" fontId="89" fillId="0" borderId="0" xfId="128" applyFont="1" applyBorder="1" applyAlignment="1">
      <alignment horizontal="center"/>
      <protection/>
    </xf>
    <xf numFmtId="0" fontId="11" fillId="0" borderId="68" xfId="128" applyFont="1" applyBorder="1" applyAlignment="1">
      <alignment horizontal="center"/>
      <protection/>
    </xf>
    <xf numFmtId="0" fontId="11" fillId="0" borderId="68" xfId="128" applyFont="1" applyBorder="1">
      <alignment/>
      <protection/>
    </xf>
    <xf numFmtId="0" fontId="11" fillId="0" borderId="69" xfId="128" applyFont="1" applyBorder="1" applyAlignment="1">
      <alignment horizontal="center"/>
      <protection/>
    </xf>
    <xf numFmtId="0" fontId="11" fillId="0" borderId="0" xfId="128" applyFont="1" applyBorder="1" applyAlignment="1">
      <alignment horizontal="center" wrapText="1"/>
      <protection/>
    </xf>
    <xf numFmtId="168" fontId="90" fillId="0" borderId="0" xfId="84" applyNumberFormat="1" applyFont="1" applyAlignment="1">
      <alignment horizontal="center"/>
    </xf>
    <xf numFmtId="0" fontId="62" fillId="0" borderId="0" xfId="128" applyFont="1">
      <alignment/>
      <protection/>
    </xf>
    <xf numFmtId="0" fontId="11" fillId="0" borderId="81" xfId="128" applyFont="1" applyBorder="1" applyAlignment="1">
      <alignment horizontal="center"/>
      <protection/>
    </xf>
    <xf numFmtId="0" fontId="11" fillId="0" borderId="81" xfId="128" applyFont="1" applyBorder="1">
      <alignment/>
      <protection/>
    </xf>
    <xf numFmtId="0" fontId="11" fillId="0" borderId="82" xfId="128" applyFont="1" applyBorder="1" applyAlignment="1">
      <alignment horizontal="center"/>
      <protection/>
    </xf>
    <xf numFmtId="0" fontId="68" fillId="0" borderId="0" xfId="128" applyFont="1" applyBorder="1" applyAlignment="1">
      <alignment horizontal="center" wrapText="1"/>
      <protection/>
    </xf>
    <xf numFmtId="0" fontId="62" fillId="0" borderId="70" xfId="128" applyFont="1" applyBorder="1" applyAlignment="1">
      <alignment horizontal="center" vertical="top"/>
      <protection/>
    </xf>
    <xf numFmtId="0" fontId="62" fillId="0" borderId="70" xfId="128" applyFont="1" applyBorder="1" applyAlignment="1">
      <alignment vertical="top"/>
      <protection/>
    </xf>
    <xf numFmtId="0" fontId="8" fillId="0" borderId="71" xfId="128" applyFont="1" applyBorder="1" applyAlignment="1">
      <alignment horizontal="center" vertical="top"/>
      <protection/>
    </xf>
    <xf numFmtId="0" fontId="69" fillId="0" borderId="70" xfId="128" applyFont="1" applyBorder="1" applyAlignment="1">
      <alignment horizontal="center" vertical="top" wrapText="1"/>
      <protection/>
    </xf>
    <xf numFmtId="0" fontId="69" fillId="0" borderId="0" xfId="128" applyFont="1" applyBorder="1" applyAlignment="1">
      <alignment horizontal="center" vertical="top" wrapText="1"/>
      <protection/>
    </xf>
    <xf numFmtId="168" fontId="87" fillId="0" borderId="0" xfId="84" applyNumberFormat="1" applyFont="1" applyAlignment="1">
      <alignment horizontal="center" vertical="top"/>
    </xf>
    <xf numFmtId="0" fontId="62" fillId="0" borderId="0" xfId="128" applyFont="1" applyAlignment="1">
      <alignment vertical="top"/>
      <protection/>
    </xf>
    <xf numFmtId="0" fontId="84" fillId="0" borderId="0" xfId="128" applyFont="1">
      <alignment/>
      <protection/>
    </xf>
    <xf numFmtId="0" fontId="54" fillId="0" borderId="29" xfId="143" applyFont="1" applyFill="1" applyBorder="1" applyAlignment="1">
      <alignment horizontal="center" wrapText="1"/>
      <protection/>
    </xf>
    <xf numFmtId="0" fontId="54" fillId="0" borderId="72" xfId="143" applyFont="1" applyFill="1" applyBorder="1" applyAlignment="1">
      <alignment wrapText="1"/>
      <protection/>
    </xf>
    <xf numFmtId="2" fontId="9" fillId="0" borderId="72" xfId="95" applyNumberFormat="1" applyFont="1" applyBorder="1" applyAlignment="1">
      <alignment horizontal="center"/>
    </xf>
    <xf numFmtId="174" fontId="8" fillId="0" borderId="72" xfId="95" applyNumberFormat="1" applyFont="1" applyBorder="1" applyAlignment="1">
      <alignment horizontal="center"/>
    </xf>
    <xf numFmtId="174" fontId="11" fillId="0" borderId="0" xfId="95" applyNumberFormat="1" applyFont="1" applyBorder="1" applyAlignment="1">
      <alignment horizontal="center"/>
    </xf>
    <xf numFmtId="168" fontId="88" fillId="0" borderId="0" xfId="84" applyNumberFormat="1" applyFont="1" applyAlignment="1">
      <alignment horizontal="center"/>
    </xf>
    <xf numFmtId="0" fontId="68" fillId="0" borderId="0" xfId="128" applyFont="1">
      <alignment/>
      <protection/>
    </xf>
    <xf numFmtId="10" fontId="68" fillId="0" borderId="0" xfId="155" applyNumberFormat="1" applyFont="1" applyAlignment="1">
      <alignment/>
    </xf>
    <xf numFmtId="0" fontId="54" fillId="0" borderId="72" xfId="143" applyFont="1" applyFill="1" applyBorder="1" applyAlignment="1">
      <alignment horizontal="center" wrapText="1"/>
      <protection/>
    </xf>
    <xf numFmtId="0" fontId="54" fillId="0" borderId="29" xfId="143" applyFont="1" applyFill="1" applyBorder="1" applyAlignment="1" quotePrefix="1">
      <alignment horizontal="center" wrapText="1"/>
      <protection/>
    </xf>
    <xf numFmtId="0" fontId="54" fillId="0" borderId="72" xfId="143" applyFont="1" applyFill="1" applyBorder="1" applyAlignment="1" quotePrefix="1">
      <alignment horizontal="center" wrapText="1"/>
      <protection/>
    </xf>
    <xf numFmtId="2" fontId="14" fillId="0" borderId="72" xfId="95" applyNumberFormat="1" applyFont="1" applyBorder="1" applyAlignment="1">
      <alignment horizontal="center"/>
    </xf>
    <xf numFmtId="174" fontId="11" fillId="0" borderId="72" xfId="95" applyNumberFormat="1" applyFont="1" applyBorder="1" applyAlignment="1">
      <alignment horizontal="center"/>
    </xf>
    <xf numFmtId="0" fontId="64" fillId="0" borderId="0" xfId="128" applyFont="1" applyAlignment="1">
      <alignment horizontal="center"/>
      <protection/>
    </xf>
    <xf numFmtId="0" fontId="64" fillId="0" borderId="0" xfId="128" applyFont="1">
      <alignment/>
      <protection/>
    </xf>
    <xf numFmtId="0" fontId="2" fillId="0" borderId="0" xfId="128">
      <alignment/>
      <protection/>
    </xf>
    <xf numFmtId="165" fontId="64" fillId="0" borderId="0" xfId="84" applyNumberFormat="1" applyFont="1" applyAlignment="1">
      <alignment/>
    </xf>
    <xf numFmtId="190" fontId="2" fillId="0" borderId="0" xfId="128" applyNumberFormat="1">
      <alignment/>
      <protection/>
    </xf>
    <xf numFmtId="0" fontId="67" fillId="0" borderId="0" xfId="125" applyFont="1" applyBorder="1" applyAlignment="1">
      <alignment horizontal="center"/>
      <protection/>
    </xf>
    <xf numFmtId="0" fontId="60" fillId="0" borderId="0" xfId="125" applyFont="1" applyBorder="1" applyAlignment="1">
      <alignment horizontal="center" vertical="top"/>
      <protection/>
    </xf>
    <xf numFmtId="0" fontId="67" fillId="0" borderId="0" xfId="128" applyFont="1" applyBorder="1" applyAlignment="1">
      <alignment horizontal="center"/>
      <protection/>
    </xf>
    <xf numFmtId="0" fontId="11" fillId="0" borderId="68" xfId="128" applyFont="1" applyBorder="1" applyAlignment="1">
      <alignment horizontal="center" wrapText="1"/>
      <protection/>
    </xf>
    <xf numFmtId="0" fontId="68" fillId="0" borderId="81" xfId="128" applyFont="1" applyBorder="1" applyAlignment="1">
      <alignment horizontal="center" wrapText="1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wrapText="1"/>
    </xf>
    <xf numFmtId="49" fontId="25" fillId="0" borderId="0" xfId="130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12" xfId="130" applyFont="1" applyBorder="1" applyAlignment="1">
      <alignment horizontal="center" vertical="center"/>
      <protection/>
    </xf>
    <xf numFmtId="0" fontId="57" fillId="0" borderId="0" xfId="142" applyFont="1" applyBorder="1" applyAlignment="1">
      <alignment horizontal="center"/>
      <protection/>
    </xf>
    <xf numFmtId="0" fontId="59" fillId="0" borderId="0" xfId="142" applyFont="1" applyBorder="1" applyAlignment="1">
      <alignment horizontal="center" vertical="center"/>
      <protection/>
    </xf>
    <xf numFmtId="0" fontId="62" fillId="0" borderId="30" xfId="142" applyFont="1" applyBorder="1" applyAlignment="1">
      <alignment horizontal="center" vertical="center"/>
      <protection/>
    </xf>
    <xf numFmtId="0" fontId="62" fillId="0" borderId="13" xfId="142" applyFont="1" applyBorder="1" applyAlignment="1">
      <alignment horizontal="center" vertical="center"/>
      <protection/>
    </xf>
    <xf numFmtId="0" fontId="62" fillId="0" borderId="32" xfId="142" applyFont="1" applyBorder="1" applyAlignment="1">
      <alignment horizontal="center" vertical="center"/>
      <protection/>
    </xf>
    <xf numFmtId="0" fontId="62" fillId="0" borderId="14" xfId="142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</cellXfs>
  <cellStyles count="14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3" xfId="85"/>
    <cellStyle name="Comma 3 2" xfId="86"/>
    <cellStyle name="Comma 3 3" xfId="87"/>
    <cellStyle name="Comma 4" xfId="88"/>
    <cellStyle name="Comma 4 2" xfId="89"/>
    <cellStyle name="Comma 4 3" xfId="90"/>
    <cellStyle name="Comma 5" xfId="91"/>
    <cellStyle name="Comma 6" xfId="92"/>
    <cellStyle name="Currency" xfId="93"/>
    <cellStyle name="Currency [0]" xfId="94"/>
    <cellStyle name="Currency 2" xfId="95"/>
    <cellStyle name="Currency 3" xfId="96"/>
    <cellStyle name="Currency 4" xfId="97"/>
    <cellStyle name="Currency 4 2" xfId="98"/>
    <cellStyle name="Currency 5" xfId="99"/>
    <cellStyle name="Explanatory Text" xfId="100"/>
    <cellStyle name="Explanatory Text 2" xfId="101"/>
    <cellStyle name="Followed Hyperlink" xfId="102"/>
    <cellStyle name="Good" xfId="103"/>
    <cellStyle name="Good 2" xfId="104"/>
    <cellStyle name="Heading 1" xfId="105"/>
    <cellStyle name="Heading 1 2" xfId="106"/>
    <cellStyle name="Heading 2" xfId="107"/>
    <cellStyle name="Heading 2 2" xfId="108"/>
    <cellStyle name="Heading 3" xfId="109"/>
    <cellStyle name="Heading 3 2" xfId="110"/>
    <cellStyle name="Heading 4" xfId="111"/>
    <cellStyle name="Heading 4 2" xfId="112"/>
    <cellStyle name="Hyperlink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2" xfId="126"/>
    <cellStyle name="Normal 2 2" xfId="127"/>
    <cellStyle name="Normal 2 2 2" xfId="128"/>
    <cellStyle name="Normal 3" xfId="129"/>
    <cellStyle name="Normal 3 2" xfId="130"/>
    <cellStyle name="Normal 4" xfId="131"/>
    <cellStyle name="Normal 4 2" xfId="132"/>
    <cellStyle name="Normal 4 2 2" xfId="133"/>
    <cellStyle name="Normal 5" xfId="134"/>
    <cellStyle name="Normal 5 2" xfId="135"/>
    <cellStyle name="Normal 5 3" xfId="136"/>
    <cellStyle name="Normal 6" xfId="137"/>
    <cellStyle name="Normal 7" xfId="138"/>
    <cellStyle name="Normal 8" xfId="139"/>
    <cellStyle name="Normal 9" xfId="140"/>
    <cellStyle name="Normal 9 2" xfId="141"/>
    <cellStyle name="Normal_ep_loss_reserves_06_rev5_16" xfId="142"/>
    <cellStyle name="Normal_Sheet1" xfId="143"/>
    <cellStyle name="Normal_Tbl_2004LossRSVratios" xfId="144"/>
    <cellStyle name="Note" xfId="145"/>
    <cellStyle name="Note 2" xfId="146"/>
    <cellStyle name="Note 3" xfId="147"/>
    <cellStyle name="Output" xfId="148"/>
    <cellStyle name="Output 2" xfId="149"/>
    <cellStyle name="Percent" xfId="150"/>
    <cellStyle name="Percent 2" xfId="151"/>
    <cellStyle name="Percent 3" xfId="152"/>
    <cellStyle name="Percent 3 2" xfId="153"/>
    <cellStyle name="Percent 4" xfId="154"/>
    <cellStyle name="Percent 5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orApproval-2007\Factors_from_Emrgncy_Reg_Apr29_08\UEP%20Reserve%20Ratio\UEPRsvRat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ep_res"/>
      <sheetName val="uep_res_17&amp;18"/>
      <sheetName val="uep_ls _res"/>
      <sheetName val="2018_SumPage14byLine_All"/>
      <sheetName val="Pg 6 - Undr Invst Pt 1_2018"/>
      <sheetName val="R2007_SumPage14byLineAllCos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4" width="20.7109375" style="0" customWidth="1"/>
    <col min="5" max="5" width="15.281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281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28125" defaultRowHeight="12.75"/>
  <cols>
    <col min="1" max="4" width="14.00390625" style="4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28125" defaultRowHeight="12.75"/>
  <cols>
    <col min="1" max="10" width="14.00390625" style="4" customWidth="1"/>
    <col min="11" max="16384" width="9.281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SheetLayoutView="10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2.8515625" style="409" customWidth="1"/>
    <col min="2" max="2" width="31.57421875" style="410" customWidth="1"/>
    <col min="3" max="3" width="20.7109375" style="411" customWidth="1"/>
    <col min="4" max="4" width="18.57421875" style="412" customWidth="1"/>
    <col min="5" max="6" width="18.57421875" style="410" customWidth="1"/>
    <col min="7" max="7" width="11.7109375" style="410" customWidth="1"/>
    <col min="8" max="8" width="4.8515625" style="413" hidden="1" customWidth="1"/>
    <col min="9" max="11" width="11.8515625" style="395" hidden="1" customWidth="1"/>
    <col min="12" max="12" width="4.8515625" style="410" hidden="1" customWidth="1"/>
    <col min="13" max="13" width="9.140625" style="410" hidden="1" customWidth="1"/>
    <col min="14" max="14" width="9.140625" style="410" customWidth="1"/>
    <col min="15" max="16384" width="9.140625" style="410" customWidth="1"/>
  </cols>
  <sheetData>
    <row r="1" spans="1:11" s="369" customFormat="1" ht="18" customHeight="1">
      <c r="A1" s="454" t="s">
        <v>235</v>
      </c>
      <c r="B1" s="454"/>
      <c r="C1" s="454"/>
      <c r="D1" s="454"/>
      <c r="E1" s="454"/>
      <c r="F1" s="454"/>
      <c r="G1" s="454"/>
      <c r="H1" s="367"/>
      <c r="I1" s="368"/>
      <c r="J1" s="368"/>
      <c r="K1" s="368"/>
    </row>
    <row r="2" spans="1:11" s="369" customFormat="1" ht="21.75" customHeight="1">
      <c r="A2" s="455" t="s">
        <v>236</v>
      </c>
      <c r="B2" s="455"/>
      <c r="C2" s="455"/>
      <c r="D2" s="455"/>
      <c r="E2" s="455"/>
      <c r="F2" s="455"/>
      <c r="G2" s="455"/>
      <c r="H2" s="371"/>
      <c r="I2" s="368"/>
      <c r="J2" s="368"/>
      <c r="K2" s="368"/>
    </row>
    <row r="3" spans="1:11" s="369" customFormat="1" ht="21.75" customHeight="1">
      <c r="A3" s="370"/>
      <c r="B3" s="370"/>
      <c r="C3" s="370"/>
      <c r="D3" s="370"/>
      <c r="E3" s="370"/>
      <c r="F3" s="370"/>
      <c r="G3" s="370"/>
      <c r="H3" s="371"/>
      <c r="I3" s="368"/>
      <c r="J3" s="368"/>
      <c r="K3" s="368"/>
    </row>
    <row r="4" spans="1:11" s="369" customFormat="1" ht="16.5" customHeight="1" thickBot="1">
      <c r="A4" s="366"/>
      <c r="B4" s="366"/>
      <c r="C4" s="372"/>
      <c r="D4" s="372"/>
      <c r="E4" s="366"/>
      <c r="F4" s="366"/>
      <c r="G4" s="366"/>
      <c r="H4" s="367"/>
      <c r="I4" s="368"/>
      <c r="J4" s="368"/>
      <c r="K4" s="368"/>
    </row>
    <row r="5" spans="1:11" s="381" customFormat="1" ht="15" customHeight="1">
      <c r="A5" s="373"/>
      <c r="B5" s="374"/>
      <c r="C5" s="375" t="s">
        <v>237</v>
      </c>
      <c r="D5" s="376" t="s">
        <v>238</v>
      </c>
      <c r="E5" s="376" t="s">
        <v>239</v>
      </c>
      <c r="F5" s="377" t="s">
        <v>240</v>
      </c>
      <c r="G5" s="378" t="s">
        <v>241</v>
      </c>
      <c r="H5" s="379"/>
      <c r="I5" s="380"/>
      <c r="J5" s="380"/>
      <c r="K5" s="380"/>
    </row>
    <row r="6" spans="1:13" s="389" customFormat="1" ht="15" customHeight="1" thickBot="1">
      <c r="A6" s="382" t="s">
        <v>215</v>
      </c>
      <c r="B6" s="383" t="s">
        <v>0</v>
      </c>
      <c r="C6" s="384" t="s">
        <v>242</v>
      </c>
      <c r="D6" s="385" t="s">
        <v>243</v>
      </c>
      <c r="E6" s="385" t="s">
        <v>243</v>
      </c>
      <c r="F6" s="386" t="s">
        <v>243</v>
      </c>
      <c r="G6" s="387" t="s">
        <v>15</v>
      </c>
      <c r="H6" s="336" t="s">
        <v>244</v>
      </c>
      <c r="I6" s="388"/>
      <c r="J6" s="388"/>
      <c r="K6" s="388"/>
      <c r="M6" s="336" t="s">
        <v>186</v>
      </c>
    </row>
    <row r="7" spans="1:13" s="396" customFormat="1" ht="13.5" customHeight="1">
      <c r="A7" s="390" t="s">
        <v>76</v>
      </c>
      <c r="B7" s="391" t="s">
        <v>41</v>
      </c>
      <c r="C7" s="392">
        <v>1207848798</v>
      </c>
      <c r="D7" s="392">
        <v>614500742</v>
      </c>
      <c r="E7" s="392">
        <v>606437582</v>
      </c>
      <c r="F7" s="392">
        <f aca="true" t="shared" si="0" ref="F7:F32">(D7+E7)/2</f>
        <v>610469162</v>
      </c>
      <c r="G7" s="393">
        <f aca="true" t="shared" si="1" ref="G7:G32">F7/C7</f>
        <v>0.5054185283876897</v>
      </c>
      <c r="H7" s="394"/>
      <c r="I7" s="395"/>
      <c r="J7" s="395"/>
      <c r="K7" s="395"/>
      <c r="M7" s="343" t="s">
        <v>163</v>
      </c>
    </row>
    <row r="8" spans="1:13" s="396" customFormat="1" ht="13.5" customHeight="1">
      <c r="A8" s="397" t="s">
        <v>77</v>
      </c>
      <c r="B8" s="391" t="s">
        <v>42</v>
      </c>
      <c r="C8" s="392">
        <v>795958114</v>
      </c>
      <c r="D8" s="392">
        <v>391832159</v>
      </c>
      <c r="E8" s="392">
        <v>386786194</v>
      </c>
      <c r="F8" s="392">
        <f t="shared" si="0"/>
        <v>389309176.5</v>
      </c>
      <c r="G8" s="393">
        <f t="shared" si="1"/>
        <v>0.48910761716288</v>
      </c>
      <c r="H8" s="394"/>
      <c r="I8" s="395"/>
      <c r="J8" s="395"/>
      <c r="K8" s="395"/>
      <c r="M8" s="343" t="s">
        <v>163</v>
      </c>
    </row>
    <row r="9" spans="1:13" s="396" customFormat="1" ht="13.5" customHeight="1" hidden="1">
      <c r="A9" s="397" t="s">
        <v>217</v>
      </c>
      <c r="B9" s="391" t="s">
        <v>119</v>
      </c>
      <c r="C9" s="392">
        <v>415361798</v>
      </c>
      <c r="D9" s="392">
        <v>137370926</v>
      </c>
      <c r="E9" s="392">
        <v>128155667</v>
      </c>
      <c r="F9" s="392">
        <f t="shared" si="0"/>
        <v>132763296.5</v>
      </c>
      <c r="G9" s="393">
        <f t="shared" si="1"/>
        <v>0.31963290109794834</v>
      </c>
      <c r="H9" s="394"/>
      <c r="I9" s="395"/>
      <c r="J9" s="395"/>
      <c r="K9" s="395"/>
      <c r="M9" s="343"/>
    </row>
    <row r="10" spans="1:13" s="396" customFormat="1" ht="13.5" customHeight="1" hidden="1">
      <c r="A10" s="397" t="s">
        <v>218</v>
      </c>
      <c r="B10" s="391" t="s">
        <v>120</v>
      </c>
      <c r="C10" s="392">
        <v>145750696</v>
      </c>
      <c r="D10" s="392">
        <v>80076298</v>
      </c>
      <c r="E10" s="392">
        <v>82287008</v>
      </c>
      <c r="F10" s="392">
        <f t="shared" si="0"/>
        <v>81181653</v>
      </c>
      <c r="G10" s="393">
        <f t="shared" si="1"/>
        <v>0.5569898136198266</v>
      </c>
      <c r="H10" s="394"/>
      <c r="I10" s="395"/>
      <c r="J10" s="395"/>
      <c r="K10" s="395"/>
      <c r="M10" s="343"/>
    </row>
    <row r="11" spans="1:13" s="396" customFormat="1" ht="13.5" customHeight="1">
      <c r="A11" s="397" t="s">
        <v>182</v>
      </c>
      <c r="B11" s="391" t="s">
        <v>183</v>
      </c>
      <c r="C11" s="392">
        <v>15857272</v>
      </c>
      <c r="D11" s="392">
        <v>290222</v>
      </c>
      <c r="E11" s="392">
        <v>759930</v>
      </c>
      <c r="F11" s="392">
        <f>(D11+E11)/2</f>
        <v>525076</v>
      </c>
      <c r="G11" s="393">
        <f>F11/C11</f>
        <v>0.033112631226859195</v>
      </c>
      <c r="H11" s="394"/>
      <c r="I11" s="395"/>
      <c r="J11" s="395"/>
      <c r="K11" s="395"/>
      <c r="M11" s="343" t="s">
        <v>163</v>
      </c>
    </row>
    <row r="12" spans="1:13" s="396" customFormat="1" ht="13.5" customHeight="1">
      <c r="A12" s="397" t="s">
        <v>184</v>
      </c>
      <c r="B12" s="391" t="s">
        <v>185</v>
      </c>
      <c r="C12" s="392">
        <v>78630944</v>
      </c>
      <c r="D12" s="392">
        <v>38198658</v>
      </c>
      <c r="E12" s="392">
        <v>33230883</v>
      </c>
      <c r="F12" s="392">
        <f>(D12+E12)/2</f>
        <v>35714770.5</v>
      </c>
      <c r="G12" s="393">
        <f>F12/C12</f>
        <v>0.45420757634551606</v>
      </c>
      <c r="H12" s="394"/>
      <c r="I12" s="395"/>
      <c r="J12" s="395"/>
      <c r="K12" s="395"/>
      <c r="M12" s="343" t="s">
        <v>163</v>
      </c>
    </row>
    <row r="13" spans="1:13" s="396" customFormat="1" ht="13.5" customHeight="1">
      <c r="A13" s="398" t="s">
        <v>78</v>
      </c>
      <c r="B13" s="391" t="s">
        <v>43</v>
      </c>
      <c r="C13" s="392">
        <v>211016183</v>
      </c>
      <c r="D13" s="392">
        <v>102036233</v>
      </c>
      <c r="E13" s="392">
        <v>98968593</v>
      </c>
      <c r="F13" s="392">
        <f t="shared" si="0"/>
        <v>100502413</v>
      </c>
      <c r="G13" s="393">
        <f t="shared" si="1"/>
        <v>0.4762782245947459</v>
      </c>
      <c r="H13" s="394"/>
      <c r="I13" s="395"/>
      <c r="J13" s="395"/>
      <c r="K13" s="395"/>
      <c r="M13" s="343" t="s">
        <v>163</v>
      </c>
    </row>
    <row r="14" spans="1:13" s="396" customFormat="1" ht="13.5" customHeight="1">
      <c r="A14" s="399" t="s">
        <v>79</v>
      </c>
      <c r="B14" s="391" t="s">
        <v>44</v>
      </c>
      <c r="C14" s="392">
        <v>8069212461</v>
      </c>
      <c r="D14" s="392">
        <v>4324329531</v>
      </c>
      <c r="E14" s="392">
        <v>4030509144</v>
      </c>
      <c r="F14" s="392">
        <f t="shared" si="0"/>
        <v>4177419337.5</v>
      </c>
      <c r="G14" s="393">
        <f t="shared" si="1"/>
        <v>0.5176985186212709</v>
      </c>
      <c r="H14" s="394"/>
      <c r="I14" s="395"/>
      <c r="J14" s="395"/>
      <c r="K14" s="395"/>
      <c r="M14" s="343" t="s">
        <v>163</v>
      </c>
    </row>
    <row r="15" spans="1:13" s="396" customFormat="1" ht="13.5" customHeight="1">
      <c r="A15" s="399" t="s">
        <v>142</v>
      </c>
      <c r="B15" s="391" t="s">
        <v>141</v>
      </c>
      <c r="C15" s="392">
        <f>+C16+C17</f>
        <v>4805418797</v>
      </c>
      <c r="D15" s="392">
        <f>+D16+D17</f>
        <v>2369275609</v>
      </c>
      <c r="E15" s="392">
        <f>+E16+E17</f>
        <v>2307699617</v>
      </c>
      <c r="F15" s="392">
        <f t="shared" si="0"/>
        <v>2338487613</v>
      </c>
      <c r="G15" s="393">
        <f t="shared" si="1"/>
        <v>0.48663554869763</v>
      </c>
      <c r="H15" s="394" t="s">
        <v>163</v>
      </c>
      <c r="I15" s="395"/>
      <c r="J15" s="395"/>
      <c r="K15" s="395"/>
      <c r="M15" s="343" t="s">
        <v>163</v>
      </c>
    </row>
    <row r="16" spans="1:13" s="396" customFormat="1" ht="13.5" customHeight="1">
      <c r="A16" s="399" t="s">
        <v>80</v>
      </c>
      <c r="B16" s="391" t="s">
        <v>45</v>
      </c>
      <c r="C16" s="392">
        <v>2982990159</v>
      </c>
      <c r="D16" s="392">
        <v>1485738927</v>
      </c>
      <c r="E16" s="392">
        <v>1455539976</v>
      </c>
      <c r="F16" s="392">
        <f t="shared" si="0"/>
        <v>1470639451.5</v>
      </c>
      <c r="G16" s="393">
        <f t="shared" si="1"/>
        <v>0.4930084824661334</v>
      </c>
      <c r="H16" s="394"/>
      <c r="I16" s="395"/>
      <c r="J16" s="395"/>
      <c r="K16" s="395"/>
      <c r="M16" s="343" t="s">
        <v>163</v>
      </c>
    </row>
    <row r="17" spans="1:13" s="396" customFormat="1" ht="13.5" customHeight="1">
      <c r="A17" s="399" t="s">
        <v>81</v>
      </c>
      <c r="B17" s="391" t="s">
        <v>46</v>
      </c>
      <c r="C17" s="392">
        <v>1822428638</v>
      </c>
      <c r="D17" s="392">
        <v>883536682</v>
      </c>
      <c r="E17" s="392">
        <v>852159641</v>
      </c>
      <c r="F17" s="392">
        <f t="shared" si="0"/>
        <v>867848161.5</v>
      </c>
      <c r="G17" s="393">
        <f t="shared" si="1"/>
        <v>0.47620419444923145</v>
      </c>
      <c r="H17" s="394"/>
      <c r="I17" s="395"/>
      <c r="J17" s="395"/>
      <c r="K17" s="395"/>
      <c r="M17" s="343" t="s">
        <v>163</v>
      </c>
    </row>
    <row r="18" spans="1:13" s="396" customFormat="1" ht="13.5" customHeight="1" hidden="1">
      <c r="A18" s="399" t="s">
        <v>82</v>
      </c>
      <c r="B18" s="391" t="s">
        <v>47</v>
      </c>
      <c r="C18" s="392">
        <v>461319147</v>
      </c>
      <c r="D18" s="392">
        <v>328865886</v>
      </c>
      <c r="E18" s="392">
        <v>325521177</v>
      </c>
      <c r="F18" s="392">
        <f t="shared" si="0"/>
        <v>327193531.5</v>
      </c>
      <c r="G18" s="393">
        <f t="shared" si="1"/>
        <v>0.7092563437433045</v>
      </c>
      <c r="H18" s="394"/>
      <c r="I18" s="395"/>
      <c r="J18" s="395"/>
      <c r="K18" s="395"/>
      <c r="M18" s="343"/>
    </row>
    <row r="19" spans="1:13" s="396" customFormat="1" ht="13.5" customHeight="1" hidden="1">
      <c r="A19" s="399" t="s">
        <v>83</v>
      </c>
      <c r="B19" s="391" t="s">
        <v>84</v>
      </c>
      <c r="C19" s="392">
        <v>304029264</v>
      </c>
      <c r="D19" s="392">
        <v>120172705</v>
      </c>
      <c r="E19" s="392">
        <v>99685402</v>
      </c>
      <c r="F19" s="392">
        <f t="shared" si="0"/>
        <v>109929053.5</v>
      </c>
      <c r="G19" s="393">
        <f t="shared" si="1"/>
        <v>0.36157392237084124</v>
      </c>
      <c r="H19" s="394"/>
      <c r="I19" s="395"/>
      <c r="J19" s="395"/>
      <c r="K19" s="395"/>
      <c r="M19" s="343"/>
    </row>
    <row r="20" spans="1:13" s="396" customFormat="1" ht="13.5" customHeight="1">
      <c r="A20" s="399" t="s">
        <v>85</v>
      </c>
      <c r="B20" s="391" t="s">
        <v>48</v>
      </c>
      <c r="C20" s="392">
        <v>3020167499</v>
      </c>
      <c r="D20" s="392">
        <v>829825474</v>
      </c>
      <c r="E20" s="392">
        <v>746346011</v>
      </c>
      <c r="F20" s="392">
        <f t="shared" si="0"/>
        <v>788085742.5</v>
      </c>
      <c r="G20" s="393">
        <f t="shared" si="1"/>
        <v>0.26094107123559906</v>
      </c>
      <c r="H20" s="394"/>
      <c r="I20" s="368" t="s">
        <v>245</v>
      </c>
      <c r="J20" s="368"/>
      <c r="K20" s="368"/>
      <c r="M20" s="343" t="s">
        <v>163</v>
      </c>
    </row>
    <row r="21" spans="1:13" s="396" customFormat="1" ht="13.5" customHeight="1" hidden="1">
      <c r="A21" s="397">
        <v>10</v>
      </c>
      <c r="B21" s="391" t="s">
        <v>49</v>
      </c>
      <c r="C21" s="392">
        <v>105793583</v>
      </c>
      <c r="D21" s="392">
        <v>484008224</v>
      </c>
      <c r="E21" s="392">
        <v>560601132</v>
      </c>
      <c r="F21" s="392">
        <f t="shared" si="0"/>
        <v>522304678</v>
      </c>
      <c r="G21" s="393">
        <f t="shared" si="1"/>
        <v>4.937016624155739</v>
      </c>
      <c r="H21" s="394"/>
      <c r="I21" s="400" t="s">
        <v>246</v>
      </c>
      <c r="J21" s="400" t="s">
        <v>247</v>
      </c>
      <c r="K21" s="400" t="s">
        <v>248</v>
      </c>
      <c r="M21" s="343"/>
    </row>
    <row r="22" spans="1:13" s="396" customFormat="1" ht="13.5" customHeight="1">
      <c r="A22" s="397">
        <v>11</v>
      </c>
      <c r="B22" s="391" t="s">
        <v>159</v>
      </c>
      <c r="C22" s="392">
        <v>757993521</v>
      </c>
      <c r="D22" s="392">
        <v>404377090</v>
      </c>
      <c r="E22" s="392">
        <v>400896448</v>
      </c>
      <c r="F22" s="392">
        <f t="shared" si="0"/>
        <v>402636769</v>
      </c>
      <c r="G22" s="393">
        <f t="shared" si="1"/>
        <v>0.531187612881984</v>
      </c>
      <c r="H22" s="394"/>
      <c r="I22" s="395"/>
      <c r="J22" s="395"/>
      <c r="K22" s="395"/>
      <c r="M22" s="343" t="s">
        <v>163</v>
      </c>
    </row>
    <row r="23" spans="1:13" s="396" customFormat="1" ht="13.5" customHeight="1">
      <c r="A23" s="397">
        <v>11.1</v>
      </c>
      <c r="B23" s="391" t="s">
        <v>221</v>
      </c>
      <c r="C23" s="392">
        <f>C22*(I23/(I23+I24))</f>
        <v>202132180.42704022</v>
      </c>
      <c r="D23" s="392">
        <f>D22*(J23/(J23+J24))</f>
        <v>131979468.51388931</v>
      </c>
      <c r="E23" s="392">
        <f>E22*(K23/(K23+K24))</f>
        <v>133038454.80674835</v>
      </c>
      <c r="F23" s="392">
        <f t="shared" si="0"/>
        <v>132508961.66031882</v>
      </c>
      <c r="G23" s="393">
        <f t="shared" si="1"/>
        <v>0.6555559900475523</v>
      </c>
      <c r="H23" s="394" t="s">
        <v>163</v>
      </c>
      <c r="I23" s="401">
        <v>2250496</v>
      </c>
      <c r="J23" s="402">
        <v>1356754</v>
      </c>
      <c r="K23" s="403">
        <v>1397996</v>
      </c>
      <c r="M23" s="343" t="s">
        <v>163</v>
      </c>
    </row>
    <row r="24" spans="1:13" s="396" customFormat="1" ht="13.5" customHeight="1">
      <c r="A24" s="397">
        <v>11.2</v>
      </c>
      <c r="B24" s="391" t="s">
        <v>222</v>
      </c>
      <c r="C24" s="392">
        <f>C22-C23</f>
        <v>555861340.5729598</v>
      </c>
      <c r="D24" s="392">
        <f>D22-D23</f>
        <v>272397621.4861107</v>
      </c>
      <c r="E24" s="392">
        <f>E22-E23</f>
        <v>267857993.19325167</v>
      </c>
      <c r="F24" s="392">
        <f t="shared" si="0"/>
        <v>270127807.33968115</v>
      </c>
      <c r="G24" s="393">
        <f t="shared" si="1"/>
        <v>0.4859625730784662</v>
      </c>
      <c r="H24" s="394" t="s">
        <v>163</v>
      </c>
      <c r="I24" s="404">
        <v>6188840</v>
      </c>
      <c r="J24" s="405">
        <v>2800258</v>
      </c>
      <c r="K24" s="406">
        <v>2814708</v>
      </c>
      <c r="M24" s="343" t="s">
        <v>163</v>
      </c>
    </row>
    <row r="25" spans="1:13" s="396" customFormat="1" ht="13.5" customHeight="1">
      <c r="A25" s="397">
        <v>12</v>
      </c>
      <c r="B25" s="391" t="s">
        <v>51</v>
      </c>
      <c r="C25" s="392">
        <v>1812935062</v>
      </c>
      <c r="D25" s="392">
        <v>940234125</v>
      </c>
      <c r="E25" s="392">
        <v>874716973</v>
      </c>
      <c r="F25" s="392">
        <f t="shared" si="0"/>
        <v>907475549</v>
      </c>
      <c r="G25" s="393">
        <f t="shared" si="1"/>
        <v>0.5005560143995935</v>
      </c>
      <c r="H25" s="394"/>
      <c r="I25" s="395"/>
      <c r="J25" s="395"/>
      <c r="K25" s="395"/>
      <c r="M25" s="343" t="s">
        <v>163</v>
      </c>
    </row>
    <row r="26" spans="1:13" s="396" customFormat="1" ht="13.5" customHeight="1" hidden="1">
      <c r="A26" s="397">
        <v>13</v>
      </c>
      <c r="B26" s="391" t="s">
        <v>121</v>
      </c>
      <c r="C26" s="392">
        <v>345506281</v>
      </c>
      <c r="D26" s="392">
        <v>391661348</v>
      </c>
      <c r="E26" s="392">
        <v>397327226</v>
      </c>
      <c r="F26" s="392">
        <f t="shared" si="0"/>
        <v>394494287</v>
      </c>
      <c r="G26" s="393">
        <f t="shared" si="1"/>
        <v>1.1417861517834462</v>
      </c>
      <c r="H26" s="394"/>
      <c r="I26" s="395"/>
      <c r="J26" s="395"/>
      <c r="K26" s="395"/>
      <c r="M26" s="343"/>
    </row>
    <row r="27" spans="1:13" s="396" customFormat="1" ht="13.5" customHeight="1" hidden="1">
      <c r="A27" s="397">
        <v>14</v>
      </c>
      <c r="B27" s="391" t="s">
        <v>122</v>
      </c>
      <c r="C27" s="392">
        <v>278027</v>
      </c>
      <c r="D27" s="392">
        <v>128846</v>
      </c>
      <c r="E27" s="392">
        <v>291211</v>
      </c>
      <c r="F27" s="392">
        <f t="shared" si="0"/>
        <v>210028.5</v>
      </c>
      <c r="G27" s="393">
        <f t="shared" si="1"/>
        <v>0.755424832839976</v>
      </c>
      <c r="H27" s="394"/>
      <c r="I27" s="395"/>
      <c r="J27" s="395"/>
      <c r="K27" s="395"/>
      <c r="M27" s="343"/>
    </row>
    <row r="28" spans="1:13" s="396" customFormat="1" ht="13.5" customHeight="1" hidden="1">
      <c r="A28" s="397">
        <v>15.1</v>
      </c>
      <c r="B28" s="391" t="s">
        <v>123</v>
      </c>
      <c r="C28" s="392">
        <v>74250</v>
      </c>
      <c r="D28" s="392">
        <v>9402</v>
      </c>
      <c r="E28" s="392">
        <v>10737</v>
      </c>
      <c r="F28" s="392">
        <f t="shared" si="0"/>
        <v>10069.5</v>
      </c>
      <c r="G28" s="393">
        <f t="shared" si="1"/>
        <v>0.1356161616161616</v>
      </c>
      <c r="H28" s="394"/>
      <c r="I28" s="395"/>
      <c r="J28" s="395"/>
      <c r="K28" s="395"/>
      <c r="M28" s="343"/>
    </row>
    <row r="29" spans="1:13" s="396" customFormat="1" ht="13.5" customHeight="1" hidden="1">
      <c r="A29" s="397">
        <v>15.2</v>
      </c>
      <c r="B29" s="391" t="s">
        <v>128</v>
      </c>
      <c r="C29" s="392">
        <v>1097</v>
      </c>
      <c r="D29" s="392">
        <v>220</v>
      </c>
      <c r="E29" s="392">
        <v>132205</v>
      </c>
      <c r="F29" s="392">
        <f t="shared" si="0"/>
        <v>66212.5</v>
      </c>
      <c r="G29" s="393">
        <f t="shared" si="1"/>
        <v>60.35779398359161</v>
      </c>
      <c r="H29" s="394"/>
      <c r="I29" s="395"/>
      <c r="J29" s="395"/>
      <c r="K29" s="395"/>
      <c r="M29" s="343"/>
    </row>
    <row r="30" spans="1:13" s="396" customFormat="1" ht="13.5" customHeight="1" hidden="1">
      <c r="A30" s="397">
        <v>15.3</v>
      </c>
      <c r="B30" s="391" t="s">
        <v>129</v>
      </c>
      <c r="C30" s="392">
        <v>22083196</v>
      </c>
      <c r="D30" s="392">
        <v>1134033399</v>
      </c>
      <c r="E30" s="392">
        <v>1093798207</v>
      </c>
      <c r="F30" s="392">
        <f t="shared" si="0"/>
        <v>1113915803</v>
      </c>
      <c r="G30" s="393">
        <f t="shared" si="1"/>
        <v>50.44178401532097</v>
      </c>
      <c r="H30" s="394"/>
      <c r="I30" s="395"/>
      <c r="J30" s="395"/>
      <c r="K30" s="395"/>
      <c r="M30" s="343"/>
    </row>
    <row r="31" spans="1:13" s="396" customFormat="1" ht="13.5" customHeight="1" hidden="1">
      <c r="A31" s="397">
        <v>15.4</v>
      </c>
      <c r="B31" s="391" t="s">
        <v>130</v>
      </c>
      <c r="C31" s="392">
        <v>5697968</v>
      </c>
      <c r="D31" s="392">
        <v>3319267</v>
      </c>
      <c r="E31" s="392">
        <v>3226701</v>
      </c>
      <c r="F31" s="392">
        <f t="shared" si="0"/>
        <v>3272984</v>
      </c>
      <c r="G31" s="393">
        <f t="shared" si="1"/>
        <v>0.5744124923130491</v>
      </c>
      <c r="H31" s="394"/>
      <c r="I31" s="395"/>
      <c r="J31" s="395"/>
      <c r="K31" s="395"/>
      <c r="M31" s="343"/>
    </row>
    <row r="32" spans="1:13" s="396" customFormat="1" ht="13.5" customHeight="1" hidden="1">
      <c r="A32" s="397">
        <v>15.5</v>
      </c>
      <c r="B32" s="391" t="s">
        <v>131</v>
      </c>
      <c r="C32" s="392">
        <v>1982765</v>
      </c>
      <c r="D32" s="392">
        <v>183354</v>
      </c>
      <c r="E32" s="392">
        <v>140599</v>
      </c>
      <c r="F32" s="392">
        <f t="shared" si="0"/>
        <v>161976.5</v>
      </c>
      <c r="G32" s="393">
        <f t="shared" si="1"/>
        <v>0.08169223281629441</v>
      </c>
      <c r="H32" s="394"/>
      <c r="I32" s="395"/>
      <c r="J32" s="395"/>
      <c r="K32" s="395"/>
      <c r="M32" s="343"/>
    </row>
    <row r="33" spans="1:13" s="396" customFormat="1" ht="13.5" customHeight="1" hidden="1">
      <c r="A33" s="397">
        <v>15.6</v>
      </c>
      <c r="B33" s="391" t="s">
        <v>223</v>
      </c>
      <c r="C33" s="392">
        <v>0</v>
      </c>
      <c r="D33" s="392">
        <v>0</v>
      </c>
      <c r="E33" s="392">
        <v>0</v>
      </c>
      <c r="F33" s="392"/>
      <c r="G33" s="393">
        <f>IF(C33=0,0,+F33/C33)</f>
        <v>0</v>
      </c>
      <c r="H33" s="394"/>
      <c r="I33" s="395"/>
      <c r="J33" s="395"/>
      <c r="K33" s="395"/>
      <c r="M33" s="343"/>
    </row>
    <row r="34" spans="1:13" s="396" customFormat="1" ht="13.5" customHeight="1" hidden="1">
      <c r="A34" s="397">
        <v>15.7</v>
      </c>
      <c r="B34" s="391" t="s">
        <v>132</v>
      </c>
      <c r="C34" s="392">
        <v>108516429</v>
      </c>
      <c r="D34" s="392">
        <v>11471218</v>
      </c>
      <c r="E34" s="392">
        <v>8488471</v>
      </c>
      <c r="F34" s="392">
        <f aca="true" t="shared" si="2" ref="F34:F58">(D34+E34)/2</f>
        <v>9979844.5</v>
      </c>
      <c r="G34" s="393">
        <f>F34/C34</f>
        <v>0.09196620817664393</v>
      </c>
      <c r="H34" s="394"/>
      <c r="I34" s="395"/>
      <c r="J34" s="395"/>
      <c r="K34" s="395"/>
      <c r="M34" s="343"/>
    </row>
    <row r="35" spans="1:13" s="396" customFormat="1" ht="13.5" customHeight="1" hidden="1">
      <c r="A35" s="397">
        <v>15.8</v>
      </c>
      <c r="B35" s="391" t="s">
        <v>133</v>
      </c>
      <c r="C35" s="392">
        <v>0</v>
      </c>
      <c r="D35" s="392">
        <v>0</v>
      </c>
      <c r="E35" s="392">
        <v>0</v>
      </c>
      <c r="F35" s="392">
        <f t="shared" si="2"/>
        <v>0</v>
      </c>
      <c r="G35" s="393">
        <f>IF(C35=0,0,+F35/C35)</f>
        <v>0</v>
      </c>
      <c r="H35" s="394"/>
      <c r="I35" s="395"/>
      <c r="J35" s="395"/>
      <c r="K35" s="395"/>
      <c r="M35" s="343"/>
    </row>
    <row r="36" spans="1:13" s="396" customFormat="1" ht="13.5" customHeight="1" hidden="1">
      <c r="A36" s="397">
        <v>16</v>
      </c>
      <c r="B36" s="391" t="s">
        <v>249</v>
      </c>
      <c r="C36" s="392">
        <v>12463751690</v>
      </c>
      <c r="D36" s="392">
        <v>3315533169</v>
      </c>
      <c r="E36" s="392">
        <v>3456610937</v>
      </c>
      <c r="F36" s="392">
        <f t="shared" si="2"/>
        <v>3386072053</v>
      </c>
      <c r="G36" s="393">
        <f aca="true" t="shared" si="3" ref="G36:G61">F36/C36</f>
        <v>0.2716735808943254</v>
      </c>
      <c r="H36" s="394"/>
      <c r="I36" s="395"/>
      <c r="J36" s="395"/>
      <c r="K36" s="395"/>
      <c r="M36" s="343"/>
    </row>
    <row r="37" spans="1:13" s="396" customFormat="1" ht="13.5" customHeight="1">
      <c r="A37" s="397">
        <v>17</v>
      </c>
      <c r="B37" s="391" t="s">
        <v>52</v>
      </c>
      <c r="C37" s="392">
        <f>+C38+C39</f>
        <v>8267059361</v>
      </c>
      <c r="D37" s="392">
        <f>+D38+D39</f>
        <v>5137077273</v>
      </c>
      <c r="E37" s="392">
        <f>+E38+E39</f>
        <v>4553286228</v>
      </c>
      <c r="F37" s="392">
        <f t="shared" si="2"/>
        <v>4845181750.5</v>
      </c>
      <c r="G37" s="393">
        <f t="shared" si="3"/>
        <v>0.5860828547279134</v>
      </c>
      <c r="H37" s="394" t="s">
        <v>163</v>
      </c>
      <c r="M37" s="343" t="s">
        <v>163</v>
      </c>
    </row>
    <row r="38" spans="1:13" s="396" customFormat="1" ht="13.5" customHeight="1">
      <c r="A38" s="397">
        <v>17.1</v>
      </c>
      <c r="B38" s="391" t="s">
        <v>224</v>
      </c>
      <c r="C38" s="392">
        <v>4857527823</v>
      </c>
      <c r="D38" s="392">
        <v>2768772550</v>
      </c>
      <c r="E38" s="392">
        <v>2534438305</v>
      </c>
      <c r="F38" s="392">
        <f t="shared" si="2"/>
        <v>2651605427.5</v>
      </c>
      <c r="G38" s="393">
        <f t="shared" si="3"/>
        <v>0.5458754996615487</v>
      </c>
      <c r="H38" s="394"/>
      <c r="I38" s="395"/>
      <c r="J38" s="395"/>
      <c r="K38" s="395"/>
      <c r="M38" s="343" t="s">
        <v>163</v>
      </c>
    </row>
    <row r="39" spans="1:13" s="396" customFormat="1" ht="13.5" customHeight="1">
      <c r="A39" s="397">
        <v>17.2</v>
      </c>
      <c r="B39" s="391" t="s">
        <v>225</v>
      </c>
      <c r="C39" s="392">
        <v>3409531538</v>
      </c>
      <c r="D39" s="392">
        <v>2368304723</v>
      </c>
      <c r="E39" s="392">
        <v>2018847923</v>
      </c>
      <c r="F39" s="392">
        <f t="shared" si="2"/>
        <v>2193576323</v>
      </c>
      <c r="G39" s="393">
        <f t="shared" si="3"/>
        <v>0.643365898966499</v>
      </c>
      <c r="H39" s="394"/>
      <c r="I39" s="395"/>
      <c r="J39" s="395"/>
      <c r="K39" s="395"/>
      <c r="M39" s="343" t="s">
        <v>163</v>
      </c>
    </row>
    <row r="40" spans="1:13" s="396" customFormat="1" ht="13.5" customHeight="1" hidden="1">
      <c r="A40" s="397">
        <v>17.3</v>
      </c>
      <c r="B40" s="391" t="s">
        <v>226</v>
      </c>
      <c r="C40" s="392">
        <v>204819697</v>
      </c>
      <c r="D40" s="392">
        <v>85442820</v>
      </c>
      <c r="E40" s="392">
        <v>81245618</v>
      </c>
      <c r="F40" s="392">
        <f t="shared" si="2"/>
        <v>83344219</v>
      </c>
      <c r="G40" s="393">
        <f t="shared" si="3"/>
        <v>0.4069150585648996</v>
      </c>
      <c r="H40" s="394"/>
      <c r="M40" s="343"/>
    </row>
    <row r="41" spans="1:13" s="396" customFormat="1" ht="13.5" customHeight="1">
      <c r="A41" s="397">
        <v>18</v>
      </c>
      <c r="B41" s="391" t="s">
        <v>53</v>
      </c>
      <c r="C41" s="392">
        <v>506826299</v>
      </c>
      <c r="D41" s="392">
        <v>262130022</v>
      </c>
      <c r="E41" s="392">
        <v>241116491</v>
      </c>
      <c r="F41" s="392">
        <f t="shared" si="2"/>
        <v>251623256.5</v>
      </c>
      <c r="G41" s="393">
        <f t="shared" si="3"/>
        <v>0.4964684291175664</v>
      </c>
      <c r="H41" s="394"/>
      <c r="I41" s="400" t="s">
        <v>246</v>
      </c>
      <c r="J41" s="400" t="s">
        <v>247</v>
      </c>
      <c r="K41" s="400" t="s">
        <v>248</v>
      </c>
      <c r="M41" s="343" t="s">
        <v>163</v>
      </c>
    </row>
    <row r="42" spans="1:13" s="396" customFormat="1" ht="13.5" customHeight="1">
      <c r="A42" s="397">
        <v>18.1</v>
      </c>
      <c r="B42" s="391" t="s">
        <v>227</v>
      </c>
      <c r="C42" s="392">
        <f>C41*(I42/(I42+I43))</f>
        <v>432402257.63248444</v>
      </c>
      <c r="D42" s="392">
        <f>D41*(J42/(J42+J43))</f>
        <v>221732286.16435507</v>
      </c>
      <c r="E42" s="392">
        <f>E41*(K42/(K42+K43))</f>
        <v>213539782.24045852</v>
      </c>
      <c r="F42" s="392">
        <f t="shared" si="2"/>
        <v>217636034.2024068</v>
      </c>
      <c r="G42" s="393">
        <f t="shared" si="3"/>
        <v>0.5033184502643928</v>
      </c>
      <c r="H42" s="394" t="s">
        <v>163</v>
      </c>
      <c r="I42" s="401">
        <v>2300735</v>
      </c>
      <c r="J42" s="402">
        <v>1267046</v>
      </c>
      <c r="K42" s="403">
        <v>1236069</v>
      </c>
      <c r="M42" s="343" t="s">
        <v>163</v>
      </c>
    </row>
    <row r="43" spans="1:13" s="396" customFormat="1" ht="13.5" customHeight="1">
      <c r="A43" s="397">
        <v>18.2</v>
      </c>
      <c r="B43" s="391" t="s">
        <v>228</v>
      </c>
      <c r="C43" s="392">
        <f>C41-C42</f>
        <v>74424041.36751556</v>
      </c>
      <c r="D43" s="392">
        <f>D41-D42</f>
        <v>40397735.83564493</v>
      </c>
      <c r="E43" s="392">
        <f>E41-E42</f>
        <v>27576708.75954148</v>
      </c>
      <c r="F43" s="392">
        <f t="shared" si="2"/>
        <v>33987222.297593206</v>
      </c>
      <c r="G43" s="393">
        <f t="shared" si="3"/>
        <v>0.456669937201608</v>
      </c>
      <c r="H43" s="394" t="s">
        <v>163</v>
      </c>
      <c r="I43" s="404">
        <v>395997</v>
      </c>
      <c r="J43" s="405">
        <v>230845</v>
      </c>
      <c r="K43" s="406">
        <v>159627</v>
      </c>
      <c r="M43" s="343" t="s">
        <v>163</v>
      </c>
    </row>
    <row r="44" spans="1:13" s="396" customFormat="1" ht="13.5" customHeight="1" hidden="1">
      <c r="A44" s="397">
        <v>19.1</v>
      </c>
      <c r="B44" s="391" t="s">
        <v>126</v>
      </c>
      <c r="C44" s="392">
        <v>732133</v>
      </c>
      <c r="D44" s="392">
        <v>1132987</v>
      </c>
      <c r="E44" s="392">
        <v>-730</v>
      </c>
      <c r="F44" s="392">
        <f t="shared" si="2"/>
        <v>566128.5</v>
      </c>
      <c r="G44" s="393">
        <f t="shared" si="3"/>
        <v>0.7732590936346265</v>
      </c>
      <c r="H44" s="394"/>
      <c r="I44" s="395"/>
      <c r="J44" s="395"/>
      <c r="K44" s="395"/>
      <c r="M44" s="343"/>
    </row>
    <row r="45" spans="1:13" s="396" customFormat="1" ht="13.5" customHeight="1">
      <c r="A45" s="397" t="s">
        <v>178</v>
      </c>
      <c r="B45" s="391" t="s">
        <v>155</v>
      </c>
      <c r="C45" s="392">
        <f>+C46+C50</f>
        <v>29149963474</v>
      </c>
      <c r="D45" s="392">
        <f>+D46+D50</f>
        <v>9757709626</v>
      </c>
      <c r="E45" s="392">
        <f>+E46+E50</f>
        <v>9023368287</v>
      </c>
      <c r="F45" s="392">
        <f t="shared" si="2"/>
        <v>9390538956.5</v>
      </c>
      <c r="G45" s="393">
        <f t="shared" si="3"/>
        <v>0.3221458224081753</v>
      </c>
      <c r="H45" s="394" t="s">
        <v>163</v>
      </c>
      <c r="I45" s="395"/>
      <c r="J45" s="395"/>
      <c r="K45" s="395"/>
      <c r="M45" s="343" t="s">
        <v>163</v>
      </c>
    </row>
    <row r="46" spans="1:13" s="396" customFormat="1" ht="13.5" customHeight="1">
      <c r="A46" s="397">
        <v>19.2</v>
      </c>
      <c r="B46" s="391" t="s">
        <v>54</v>
      </c>
      <c r="C46" s="392">
        <v>16789109981</v>
      </c>
      <c r="D46" s="392">
        <v>5575442109</v>
      </c>
      <c r="E46" s="392">
        <v>5131330519</v>
      </c>
      <c r="F46" s="392">
        <f t="shared" si="2"/>
        <v>5353386314</v>
      </c>
      <c r="G46" s="393">
        <f t="shared" si="3"/>
        <v>0.3188606376429931</v>
      </c>
      <c r="H46" s="394"/>
      <c r="I46" s="395"/>
      <c r="J46" s="395"/>
      <c r="K46" s="395"/>
      <c r="M46" s="343" t="s">
        <v>163</v>
      </c>
    </row>
    <row r="47" spans="1:13" s="396" customFormat="1" ht="13.5" customHeight="1" hidden="1">
      <c r="A47" s="397">
        <v>19.3</v>
      </c>
      <c r="B47" s="391" t="s">
        <v>250</v>
      </c>
      <c r="C47" s="392">
        <v>13541759</v>
      </c>
      <c r="D47" s="392">
        <v>5859952</v>
      </c>
      <c r="E47" s="392">
        <v>9997735</v>
      </c>
      <c r="F47" s="392">
        <f t="shared" si="2"/>
        <v>7928843.5</v>
      </c>
      <c r="G47" s="393">
        <f t="shared" si="3"/>
        <v>0.5855106046415388</v>
      </c>
      <c r="H47" s="394"/>
      <c r="I47" s="395"/>
      <c r="J47" s="395"/>
      <c r="K47" s="395"/>
      <c r="M47" s="343"/>
    </row>
    <row r="48" spans="1:13" s="396" customFormat="1" ht="13.5" customHeight="1">
      <c r="A48" s="397" t="s">
        <v>179</v>
      </c>
      <c r="B48" s="391" t="s">
        <v>156</v>
      </c>
      <c r="C48" s="392">
        <f>+C49+C51</f>
        <v>4148648819</v>
      </c>
      <c r="D48" s="392">
        <f>+D49+D51</f>
        <v>1989312472</v>
      </c>
      <c r="E48" s="392">
        <f>+E49+E51</f>
        <v>1749231156</v>
      </c>
      <c r="F48" s="392">
        <f t="shared" si="2"/>
        <v>1869271814</v>
      </c>
      <c r="G48" s="393">
        <f t="shared" si="3"/>
        <v>0.4505736435051096</v>
      </c>
      <c r="H48" s="394" t="s">
        <v>163</v>
      </c>
      <c r="I48" s="395"/>
      <c r="J48" s="395"/>
      <c r="K48" s="395"/>
      <c r="M48" s="343" t="s">
        <v>163</v>
      </c>
    </row>
    <row r="49" spans="1:13" s="396" customFormat="1" ht="13.5" customHeight="1">
      <c r="A49" s="397">
        <v>19.4</v>
      </c>
      <c r="B49" s="391" t="s">
        <v>55</v>
      </c>
      <c r="C49" s="392">
        <v>3253716548</v>
      </c>
      <c r="D49" s="392">
        <v>1565882517</v>
      </c>
      <c r="E49" s="392">
        <v>1372222730</v>
      </c>
      <c r="F49" s="392">
        <f t="shared" si="2"/>
        <v>1469052623.5</v>
      </c>
      <c r="G49" s="393">
        <f t="shared" si="3"/>
        <v>0.4514998777023155</v>
      </c>
      <c r="H49" s="394"/>
      <c r="I49" s="380" t="s">
        <v>251</v>
      </c>
      <c r="J49" s="395"/>
      <c r="K49" s="395"/>
      <c r="M49" s="343" t="s">
        <v>163</v>
      </c>
    </row>
    <row r="50" spans="1:13" s="396" customFormat="1" ht="13.5" customHeight="1">
      <c r="A50" s="397">
        <v>21.1</v>
      </c>
      <c r="B50" s="391" t="s">
        <v>56</v>
      </c>
      <c r="C50" s="392">
        <v>12360853493</v>
      </c>
      <c r="D50" s="392">
        <v>4182267517</v>
      </c>
      <c r="E50" s="392">
        <v>3892037768</v>
      </c>
      <c r="F50" s="392">
        <f t="shared" si="2"/>
        <v>4037152642.5</v>
      </c>
      <c r="G50" s="393">
        <f t="shared" si="3"/>
        <v>0.3266079194924732</v>
      </c>
      <c r="H50" s="394"/>
      <c r="I50" s="407" t="s">
        <v>252</v>
      </c>
      <c r="J50" s="408"/>
      <c r="K50" s="395"/>
      <c r="M50" s="343" t="s">
        <v>163</v>
      </c>
    </row>
    <row r="51" spans="1:13" s="396" customFormat="1" ht="13.5" customHeight="1">
      <c r="A51" s="397">
        <v>21.2</v>
      </c>
      <c r="B51" s="391" t="s">
        <v>57</v>
      </c>
      <c r="C51" s="392">
        <v>894932271</v>
      </c>
      <c r="D51" s="392">
        <v>423429955</v>
      </c>
      <c r="E51" s="392">
        <v>377008426</v>
      </c>
      <c r="F51" s="392">
        <f t="shared" si="2"/>
        <v>400219190.5</v>
      </c>
      <c r="G51" s="393">
        <f t="shared" si="3"/>
        <v>0.4472061221491028</v>
      </c>
      <c r="H51" s="394"/>
      <c r="I51" s="407" t="s">
        <v>253</v>
      </c>
      <c r="J51" s="408"/>
      <c r="K51" s="395"/>
      <c r="M51" s="343" t="s">
        <v>163</v>
      </c>
    </row>
    <row r="52" spans="1:13" s="396" customFormat="1" ht="13.5" customHeight="1">
      <c r="A52" s="397">
        <v>22</v>
      </c>
      <c r="B52" s="391" t="s">
        <v>58</v>
      </c>
      <c r="C52" s="392">
        <v>149924974</v>
      </c>
      <c r="D52" s="392">
        <v>68293995</v>
      </c>
      <c r="E52" s="392">
        <v>57954494</v>
      </c>
      <c r="F52" s="392">
        <f t="shared" si="2"/>
        <v>63124244.5</v>
      </c>
      <c r="G52" s="393">
        <f t="shared" si="3"/>
        <v>0.4210388890912864</v>
      </c>
      <c r="H52" s="394"/>
      <c r="I52" s="407" t="s">
        <v>254</v>
      </c>
      <c r="J52" s="408"/>
      <c r="K52" s="395"/>
      <c r="M52" s="343" t="s">
        <v>163</v>
      </c>
    </row>
    <row r="53" spans="1:13" s="396" customFormat="1" ht="13.5" customHeight="1">
      <c r="A53" s="397">
        <v>23</v>
      </c>
      <c r="B53" s="391" t="s">
        <v>59</v>
      </c>
      <c r="C53" s="392">
        <v>126806956</v>
      </c>
      <c r="D53" s="392">
        <v>78324116</v>
      </c>
      <c r="E53" s="392">
        <v>75238152</v>
      </c>
      <c r="F53" s="392">
        <f t="shared" si="2"/>
        <v>76781134</v>
      </c>
      <c r="G53" s="393">
        <f t="shared" si="3"/>
        <v>0.6054962316105119</v>
      </c>
      <c r="H53" s="394"/>
      <c r="I53" s="407" t="s">
        <v>255</v>
      </c>
      <c r="J53" s="408"/>
      <c r="K53" s="395"/>
      <c r="M53" s="343" t="s">
        <v>163</v>
      </c>
    </row>
    <row r="54" spans="1:13" s="396" customFormat="1" ht="13.5" customHeight="1">
      <c r="A54" s="397">
        <v>24</v>
      </c>
      <c r="B54" s="391" t="s">
        <v>60</v>
      </c>
      <c r="C54" s="392">
        <v>872947098</v>
      </c>
      <c r="D54" s="392">
        <v>513947159</v>
      </c>
      <c r="E54" s="392">
        <v>479530619</v>
      </c>
      <c r="F54" s="392">
        <f t="shared" si="2"/>
        <v>496738889</v>
      </c>
      <c r="G54" s="393">
        <f t="shared" si="3"/>
        <v>0.5690366462504696</v>
      </c>
      <c r="H54" s="394"/>
      <c r="I54" s="395"/>
      <c r="J54" s="395"/>
      <c r="K54" s="395"/>
      <c r="M54" s="343" t="s">
        <v>163</v>
      </c>
    </row>
    <row r="55" spans="1:13" s="396" customFormat="1" ht="13.5" customHeight="1">
      <c r="A55" s="397">
        <v>26</v>
      </c>
      <c r="B55" s="391" t="s">
        <v>61</v>
      </c>
      <c r="C55" s="392">
        <v>39976104</v>
      </c>
      <c r="D55" s="392">
        <v>23987571</v>
      </c>
      <c r="E55" s="392">
        <v>22279456</v>
      </c>
      <c r="F55" s="392">
        <f t="shared" si="2"/>
        <v>23133513.5</v>
      </c>
      <c r="G55" s="393">
        <f t="shared" si="3"/>
        <v>0.5786835430486172</v>
      </c>
      <c r="H55" s="394"/>
      <c r="I55" s="395"/>
      <c r="J55" s="395"/>
      <c r="K55" s="395"/>
      <c r="M55" s="343" t="s">
        <v>163</v>
      </c>
    </row>
    <row r="56" spans="1:13" s="396" customFormat="1" ht="13.5" customHeight="1">
      <c r="A56" s="397">
        <v>27</v>
      </c>
      <c r="B56" s="391" t="s">
        <v>62</v>
      </c>
      <c r="C56" s="392">
        <v>134835600</v>
      </c>
      <c r="D56" s="392">
        <v>72188508</v>
      </c>
      <c r="E56" s="392">
        <v>73313434</v>
      </c>
      <c r="F56" s="392">
        <f t="shared" si="2"/>
        <v>72750971</v>
      </c>
      <c r="G56" s="393">
        <f t="shared" si="3"/>
        <v>0.5395531373020181</v>
      </c>
      <c r="H56" s="394"/>
      <c r="I56" s="395"/>
      <c r="J56" s="395"/>
      <c r="K56" s="395"/>
      <c r="M56" s="343" t="s">
        <v>163</v>
      </c>
    </row>
    <row r="57" spans="1:13" s="396" customFormat="1" ht="13.5" customHeight="1">
      <c r="A57" s="397">
        <v>28</v>
      </c>
      <c r="B57" s="391" t="s">
        <v>63</v>
      </c>
      <c r="C57" s="392">
        <v>135559258</v>
      </c>
      <c r="D57" s="392">
        <v>61718899</v>
      </c>
      <c r="E57" s="392">
        <v>54525068</v>
      </c>
      <c r="F57" s="392">
        <f t="shared" si="2"/>
        <v>58121983.5</v>
      </c>
      <c r="G57" s="393">
        <f t="shared" si="3"/>
        <v>0.42875702004801475</v>
      </c>
      <c r="H57" s="394"/>
      <c r="I57" s="395"/>
      <c r="J57" s="395"/>
      <c r="K57" s="395"/>
      <c r="M57" s="343" t="s">
        <v>163</v>
      </c>
    </row>
    <row r="58" spans="1:13" s="396" customFormat="1" ht="13.5" customHeight="1">
      <c r="A58" s="397">
        <v>30</v>
      </c>
      <c r="B58" s="391" t="s">
        <v>157</v>
      </c>
      <c r="C58" s="392">
        <v>180351080</v>
      </c>
      <c r="D58" s="392">
        <v>323497583</v>
      </c>
      <c r="E58" s="392">
        <v>326251791</v>
      </c>
      <c r="F58" s="392">
        <f t="shared" si="2"/>
        <v>324874687</v>
      </c>
      <c r="G58" s="393">
        <f t="shared" si="3"/>
        <v>1.8013459470273203</v>
      </c>
      <c r="H58" s="394"/>
      <c r="I58" s="395"/>
      <c r="J58" s="395"/>
      <c r="K58" s="395"/>
      <c r="M58" s="343" t="s">
        <v>163</v>
      </c>
    </row>
    <row r="59" spans="1:13" s="396" customFormat="1" ht="13.5" customHeight="1">
      <c r="A59" s="397">
        <v>34</v>
      </c>
      <c r="B59" s="391" t="s">
        <v>64</v>
      </c>
      <c r="C59" s="392">
        <v>100770448</v>
      </c>
      <c r="D59" s="392">
        <v>37738766</v>
      </c>
      <c r="E59" s="392">
        <v>37871089</v>
      </c>
      <c r="F59" s="392">
        <f>(D59+E59)/2</f>
        <v>37804927.5</v>
      </c>
      <c r="G59" s="393">
        <f t="shared" si="3"/>
        <v>0.3751588709816989</v>
      </c>
      <c r="H59" s="394"/>
      <c r="I59" s="395"/>
      <c r="J59" s="395"/>
      <c r="K59" s="395"/>
      <c r="M59" s="343" t="s">
        <v>163</v>
      </c>
    </row>
    <row r="60" spans="1:13" s="396" customFormat="1" ht="13.5" customHeight="1" hidden="1">
      <c r="A60" s="397">
        <v>35</v>
      </c>
      <c r="B60" s="391" t="s">
        <v>256</v>
      </c>
      <c r="C60" s="392">
        <v>79187947881</v>
      </c>
      <c r="D60" s="392">
        <v>34047355167</v>
      </c>
      <c r="E60" s="392">
        <v>32075043597</v>
      </c>
      <c r="F60" s="392">
        <f>(D60+E60)/2</f>
        <v>33061199382</v>
      </c>
      <c r="G60" s="393">
        <f t="shared" si="3"/>
        <v>0.4175029188997655</v>
      </c>
      <c r="H60" s="394"/>
      <c r="I60" s="395"/>
      <c r="J60" s="395"/>
      <c r="K60" s="395"/>
      <c r="M60" s="343"/>
    </row>
    <row r="61" spans="1:13" s="396" customFormat="1" ht="13.5" customHeight="1">
      <c r="A61" s="397"/>
      <c r="B61" s="391" t="s">
        <v>230</v>
      </c>
      <c r="C61" s="392">
        <f>+C7+C8+C11+C12+C13+C14+C16+C17+C20+C23+C24+C25+C38+C39+C42+C43+C46+C49+C50+C51+C52+C53+C54+C55+C56+C57+C58+C59</f>
        <v>64588708122</v>
      </c>
      <c r="D61" s="392">
        <f>+D7+D8+D11+D12+D13+D14+D16+D17+D20+D23+D24+D25+D38+D39+D42+D43+D46+D49+D50+D51+D52+D53+D54+D55+D56+D57+D58+D59</f>
        <v>28340825833</v>
      </c>
      <c r="E61" s="392">
        <f>+E7+E8+E11+E12+E13+E14+E16+E17+E20+E23+E24+E25+E38+E39+E42+E43+E46+E49+E50+E51+E52+E53+E54+E55+E56+E57+E58+E59</f>
        <v>26180317640</v>
      </c>
      <c r="F61" s="392">
        <f>(D61+E61)/2</f>
        <v>27260571736.5</v>
      </c>
      <c r="G61" s="393">
        <f t="shared" si="3"/>
        <v>0.4220640500350028</v>
      </c>
      <c r="H61" s="394" t="s">
        <v>163</v>
      </c>
      <c r="I61" s="395"/>
      <c r="J61" s="395"/>
      <c r="K61" s="395"/>
      <c r="M61" s="343" t="s">
        <v>163</v>
      </c>
    </row>
    <row r="62" ht="15.75">
      <c r="E62" s="395"/>
    </row>
    <row r="64" spans="1:7" ht="15.75">
      <c r="A64" s="326"/>
      <c r="B64" s="326"/>
      <c r="C64" s="326"/>
      <c r="D64" s="326"/>
      <c r="E64" s="326"/>
      <c r="F64" s="326"/>
      <c r="G64" s="326"/>
    </row>
    <row r="65" spans="1:7" ht="15.75">
      <c r="A65" s="326"/>
      <c r="B65" s="326"/>
      <c r="C65" s="326"/>
      <c r="D65" s="326"/>
      <c r="E65" s="326"/>
      <c r="F65" s="326"/>
      <c r="G65" s="326"/>
    </row>
    <row r="66" spans="1:7" ht="15.75">
      <c r="A66" s="326"/>
      <c r="B66" s="326"/>
      <c r="C66" s="326"/>
      <c r="D66" s="326"/>
      <c r="E66" s="326"/>
      <c r="F66" s="326"/>
      <c r="G66" s="326"/>
    </row>
  </sheetData>
  <sheetProtection/>
  <mergeCells count="2">
    <mergeCell ref="A1:G1"/>
    <mergeCell ref="A2:G2"/>
  </mergeCells>
  <printOptions horizontalCentered="1"/>
  <pageMargins left="0.25" right="0.25" top="1" bottom="0.25" header="0.5" footer="0.5"/>
  <pageSetup fitToHeight="1" fitToWidth="1" horizontalDpi="600" verticalDpi="600" orientation="landscape" scale="78" r:id="rId3"/>
  <headerFooter alignWithMargins="0">
    <oddFooter>&amp;LCalifornia Department of Insurance&amp;RRate Specialist Bureau - 10/3/2019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SheetLayoutView="103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E1"/>
    </sheetView>
  </sheetViews>
  <sheetFormatPr defaultColWidth="9.140625" defaultRowHeight="12.75"/>
  <cols>
    <col min="1" max="1" width="14.140625" style="449" customWidth="1"/>
    <col min="2" max="2" width="28.8515625" style="450" customWidth="1"/>
    <col min="3" max="4" width="18.421875" style="452" customWidth="1"/>
    <col min="5" max="5" width="19.140625" style="452" customWidth="1"/>
    <col min="6" max="6" width="9.140625" style="452" customWidth="1"/>
    <col min="7" max="7" width="9.140625" style="415" hidden="1" customWidth="1"/>
    <col min="8" max="9" width="9.140625" style="450" hidden="1" customWidth="1"/>
    <col min="10" max="16384" width="9.140625" style="450" customWidth="1"/>
  </cols>
  <sheetData>
    <row r="1" spans="1:7" s="416" customFormat="1" ht="24.75" customHeight="1">
      <c r="A1" s="456" t="s">
        <v>257</v>
      </c>
      <c r="B1" s="456"/>
      <c r="C1" s="456"/>
      <c r="D1" s="456"/>
      <c r="E1" s="456"/>
      <c r="F1" s="414"/>
      <c r="G1" s="415"/>
    </row>
    <row r="2" spans="1:7" s="416" customFormat="1" ht="19.5" customHeight="1">
      <c r="A2" s="414"/>
      <c r="B2" s="414"/>
      <c r="C2" s="414"/>
      <c r="D2" s="414"/>
      <c r="E2" s="414"/>
      <c r="F2" s="414"/>
      <c r="G2" s="415"/>
    </row>
    <row r="3" spans="1:7" s="416" customFormat="1" ht="19.5" customHeight="1" thickBot="1">
      <c r="A3" s="414"/>
      <c r="B3" s="414"/>
      <c r="C3" s="417"/>
      <c r="D3" s="414"/>
      <c r="E3" s="414"/>
      <c r="F3" s="414"/>
      <c r="G3" s="415"/>
    </row>
    <row r="4" spans="1:7" s="423" customFormat="1" ht="14.25" customHeight="1">
      <c r="A4" s="418"/>
      <c r="B4" s="419"/>
      <c r="C4" s="420" t="s">
        <v>258</v>
      </c>
      <c r="D4" s="420" t="s">
        <v>259</v>
      </c>
      <c r="E4" s="457" t="s">
        <v>260</v>
      </c>
      <c r="F4" s="421"/>
      <c r="G4" s="422"/>
    </row>
    <row r="5" spans="1:7" s="423" customFormat="1" ht="14.25" customHeight="1">
      <c r="A5" s="424"/>
      <c r="B5" s="425" t="s">
        <v>0</v>
      </c>
      <c r="C5" s="426" t="s">
        <v>15</v>
      </c>
      <c r="D5" s="426" t="s">
        <v>15</v>
      </c>
      <c r="E5" s="458"/>
      <c r="F5" s="427"/>
      <c r="G5" s="422"/>
    </row>
    <row r="6" spans="1:9" s="434" customFormat="1" ht="14.25" customHeight="1" thickBot="1">
      <c r="A6" s="428"/>
      <c r="B6" s="429"/>
      <c r="C6" s="430" t="s">
        <v>261</v>
      </c>
      <c r="D6" s="430" t="s">
        <v>262</v>
      </c>
      <c r="E6" s="431" t="s">
        <v>263</v>
      </c>
      <c r="F6" s="432"/>
      <c r="G6" s="433" t="s">
        <v>186</v>
      </c>
      <c r="I6" s="435" t="s">
        <v>189</v>
      </c>
    </row>
    <row r="7" spans="1:9" s="442" customFormat="1" ht="18" customHeight="1">
      <c r="A7" s="436" t="s">
        <v>76</v>
      </c>
      <c r="B7" s="437" t="s">
        <v>41</v>
      </c>
      <c r="C7" s="438">
        <v>0.5211809084336273</v>
      </c>
      <c r="D7" s="438">
        <v>0.5054185283876897</v>
      </c>
      <c r="E7" s="439">
        <f>+D7-C7</f>
        <v>-0.015762380045937552</v>
      </c>
      <c r="F7" s="440"/>
      <c r="G7" s="441" t="s">
        <v>163</v>
      </c>
      <c r="I7" s="443">
        <f>+C7/D7-1</f>
        <v>0.03118678710932965</v>
      </c>
    </row>
    <row r="8" spans="1:9" s="442" customFormat="1" ht="12.75" customHeight="1">
      <c r="A8" s="444" t="s">
        <v>77</v>
      </c>
      <c r="B8" s="437" t="s">
        <v>42</v>
      </c>
      <c r="C8" s="438">
        <v>0.509233975733543</v>
      </c>
      <c r="D8" s="438">
        <v>0.48910761716288</v>
      </c>
      <c r="E8" s="439">
        <f aca="true" t="shared" si="0" ref="E8:E61">+D8-C8</f>
        <v>-0.020126358570663028</v>
      </c>
      <c r="F8" s="440"/>
      <c r="G8" s="441" t="s">
        <v>163</v>
      </c>
      <c r="I8" s="443">
        <f aca="true" t="shared" si="1" ref="I8:I61">+C8/D8-1</f>
        <v>0.04114914154763749</v>
      </c>
    </row>
    <row r="9" spans="1:9" s="442" customFormat="1" ht="12.75" customHeight="1" hidden="1">
      <c r="A9" s="444" t="s">
        <v>217</v>
      </c>
      <c r="B9" s="437" t="s">
        <v>119</v>
      </c>
      <c r="C9" s="438">
        <v>0.32674059347288664</v>
      </c>
      <c r="D9" s="438">
        <v>0.31963290109794834</v>
      </c>
      <c r="E9" s="439">
        <f t="shared" si="0"/>
        <v>-0.007107692374938301</v>
      </c>
      <c r="F9" s="440"/>
      <c r="G9" s="441"/>
      <c r="I9" s="443">
        <f t="shared" si="1"/>
        <v>0.022237048659644154</v>
      </c>
    </row>
    <row r="10" spans="1:9" s="442" customFormat="1" ht="12.75" customHeight="1" hidden="1">
      <c r="A10" s="444" t="s">
        <v>218</v>
      </c>
      <c r="B10" s="437" t="s">
        <v>120</v>
      </c>
      <c r="C10" s="438">
        <v>0.5484881282013654</v>
      </c>
      <c r="D10" s="438">
        <v>0.5569898136198266</v>
      </c>
      <c r="E10" s="439">
        <f t="shared" si="0"/>
        <v>0.008501685418461191</v>
      </c>
      <c r="F10" s="440"/>
      <c r="G10" s="441"/>
      <c r="I10" s="443">
        <f t="shared" si="1"/>
        <v>-0.01526362818596183</v>
      </c>
    </row>
    <row r="11" spans="1:9" s="442" customFormat="1" ht="12.75" customHeight="1">
      <c r="A11" s="444" t="s">
        <v>182</v>
      </c>
      <c r="B11" s="437" t="s">
        <v>183</v>
      </c>
      <c r="C11" s="438">
        <v>0.03168244925745658</v>
      </c>
      <c r="D11" s="438">
        <v>0.033112631226859195</v>
      </c>
      <c r="E11" s="439">
        <f t="shared" si="0"/>
        <v>0.0014301819694026163</v>
      </c>
      <c r="F11" s="440"/>
      <c r="G11" s="441" t="s">
        <v>163</v>
      </c>
      <c r="I11" s="443">
        <f t="shared" si="1"/>
        <v>-0.04319143228468447</v>
      </c>
    </row>
    <row r="12" spans="1:9" s="442" customFormat="1" ht="12.75" customHeight="1">
      <c r="A12" s="444" t="s">
        <v>184</v>
      </c>
      <c r="B12" s="437" t="s">
        <v>185</v>
      </c>
      <c r="C12" s="438">
        <v>0.4316233153877306</v>
      </c>
      <c r="D12" s="438">
        <v>0.45420757634551606</v>
      </c>
      <c r="E12" s="439">
        <f t="shared" si="0"/>
        <v>0.022584260957785485</v>
      </c>
      <c r="F12" s="440"/>
      <c r="G12" s="441" t="s">
        <v>163</v>
      </c>
      <c r="I12" s="443">
        <f t="shared" si="1"/>
        <v>-0.04972233431131856</v>
      </c>
    </row>
    <row r="13" spans="1:9" s="442" customFormat="1" ht="12.75" customHeight="1">
      <c r="A13" s="445" t="s">
        <v>78</v>
      </c>
      <c r="B13" s="437" t="s">
        <v>43</v>
      </c>
      <c r="C13" s="438">
        <v>0.47553655422759217</v>
      </c>
      <c r="D13" s="438">
        <v>0.4762782245947459</v>
      </c>
      <c r="E13" s="439">
        <f t="shared" si="0"/>
        <v>0.0007416703671537239</v>
      </c>
      <c r="F13" s="440"/>
      <c r="G13" s="441" t="s">
        <v>163</v>
      </c>
      <c r="I13" s="443">
        <f t="shared" si="1"/>
        <v>-0.001557220819374594</v>
      </c>
    </row>
    <row r="14" spans="1:9" s="442" customFormat="1" ht="12.75" customHeight="1">
      <c r="A14" s="446" t="s">
        <v>79</v>
      </c>
      <c r="B14" s="437" t="s">
        <v>44</v>
      </c>
      <c r="C14" s="438">
        <v>0.5144249948778846</v>
      </c>
      <c r="D14" s="438">
        <v>0.5176985186212709</v>
      </c>
      <c r="E14" s="439">
        <f t="shared" si="0"/>
        <v>0.0032735237433862974</v>
      </c>
      <c r="F14" s="440"/>
      <c r="G14" s="441" t="s">
        <v>163</v>
      </c>
      <c r="I14" s="443">
        <f t="shared" si="1"/>
        <v>-0.006323224088228607</v>
      </c>
    </row>
    <row r="15" spans="1:9" s="442" customFormat="1" ht="12.75" customHeight="1">
      <c r="A15" s="446" t="s">
        <v>142</v>
      </c>
      <c r="B15" s="437" t="s">
        <v>141</v>
      </c>
      <c r="C15" s="438">
        <v>0.4871159467973763</v>
      </c>
      <c r="D15" s="438">
        <v>0.48663554869763</v>
      </c>
      <c r="E15" s="439">
        <f t="shared" si="0"/>
        <v>-0.0004803980997463153</v>
      </c>
      <c r="F15" s="440"/>
      <c r="G15" s="441" t="s">
        <v>163</v>
      </c>
      <c r="I15" s="443">
        <f t="shared" si="1"/>
        <v>0.000987182504508688</v>
      </c>
    </row>
    <row r="16" spans="1:9" s="442" customFormat="1" ht="12.75" customHeight="1">
      <c r="A16" s="446" t="s">
        <v>80</v>
      </c>
      <c r="B16" s="437" t="s">
        <v>45</v>
      </c>
      <c r="C16" s="438">
        <v>0.49222604545246473</v>
      </c>
      <c r="D16" s="438">
        <v>0.4930084824661334</v>
      </c>
      <c r="E16" s="439">
        <f t="shared" si="0"/>
        <v>0.0007824370136686465</v>
      </c>
      <c r="F16" s="440"/>
      <c r="G16" s="441" t="s">
        <v>163</v>
      </c>
      <c r="I16" s="443">
        <f t="shared" si="1"/>
        <v>-0.0015870660272511161</v>
      </c>
    </row>
    <row r="17" spans="1:9" s="442" customFormat="1" ht="12.75" customHeight="1">
      <c r="A17" s="446" t="s">
        <v>81</v>
      </c>
      <c r="B17" s="437" t="s">
        <v>46</v>
      </c>
      <c r="C17" s="438">
        <v>0.47897459195688585</v>
      </c>
      <c r="D17" s="438">
        <v>0.47620419444923145</v>
      </c>
      <c r="E17" s="439">
        <f t="shared" si="0"/>
        <v>-0.0027703975076543985</v>
      </c>
      <c r="F17" s="440"/>
      <c r="G17" s="441" t="s">
        <v>163</v>
      </c>
      <c r="I17" s="443">
        <f t="shared" si="1"/>
        <v>0.005817667168720675</v>
      </c>
    </row>
    <row r="18" spans="1:9" s="442" customFormat="1" ht="12.75" customHeight="1" hidden="1">
      <c r="A18" s="446" t="s">
        <v>82</v>
      </c>
      <c r="B18" s="437" t="s">
        <v>47</v>
      </c>
      <c r="C18" s="438">
        <v>0.710822460011184</v>
      </c>
      <c r="D18" s="438">
        <v>0.7092563437433045</v>
      </c>
      <c r="E18" s="439">
        <f t="shared" si="0"/>
        <v>-0.0015661162678795026</v>
      </c>
      <c r="F18" s="440"/>
      <c r="G18" s="441"/>
      <c r="I18" s="443">
        <f t="shared" si="1"/>
        <v>0.0022081103421844883</v>
      </c>
    </row>
    <row r="19" spans="1:9" s="442" customFormat="1" ht="12.75" customHeight="1" hidden="1">
      <c r="A19" s="446" t="s">
        <v>83</v>
      </c>
      <c r="B19" s="437" t="s">
        <v>84</v>
      </c>
      <c r="C19" s="438">
        <v>0.3643835686831622</v>
      </c>
      <c r="D19" s="438">
        <v>0.36157392237084124</v>
      </c>
      <c r="E19" s="439">
        <f t="shared" si="0"/>
        <v>-0.002809646312320946</v>
      </c>
      <c r="F19" s="440"/>
      <c r="G19" s="441"/>
      <c r="I19" s="443">
        <f t="shared" si="1"/>
        <v>0.007770599975512882</v>
      </c>
    </row>
    <row r="20" spans="1:9" s="442" customFormat="1" ht="12.75" customHeight="1">
      <c r="A20" s="446" t="s">
        <v>85</v>
      </c>
      <c r="B20" s="437" t="s">
        <v>48</v>
      </c>
      <c r="C20" s="438">
        <v>0.25297796832176495</v>
      </c>
      <c r="D20" s="438">
        <v>0.26094107123559906</v>
      </c>
      <c r="E20" s="439">
        <f t="shared" si="0"/>
        <v>0.00796310291383412</v>
      </c>
      <c r="F20" s="440"/>
      <c r="G20" s="441" t="s">
        <v>163</v>
      </c>
      <c r="I20" s="443">
        <f t="shared" si="1"/>
        <v>-0.030516862968820946</v>
      </c>
    </row>
    <row r="21" spans="1:9" s="442" customFormat="1" ht="12.75" customHeight="1" hidden="1">
      <c r="A21" s="444">
        <v>10</v>
      </c>
      <c r="B21" s="437" t="s">
        <v>49</v>
      </c>
      <c r="C21" s="438">
        <v>3.988579518159182</v>
      </c>
      <c r="D21" s="438">
        <v>4.937016624155739</v>
      </c>
      <c r="E21" s="439">
        <f t="shared" si="0"/>
        <v>0.9484371059965575</v>
      </c>
      <c r="F21" s="440"/>
      <c r="G21" s="441"/>
      <c r="I21" s="443">
        <f t="shared" si="1"/>
        <v>-0.1921073348945318</v>
      </c>
    </row>
    <row r="22" spans="1:9" s="442" customFormat="1" ht="12.75" customHeight="1">
      <c r="A22" s="444">
        <v>11</v>
      </c>
      <c r="B22" s="437" t="s">
        <v>159</v>
      </c>
      <c r="C22" s="438">
        <v>0.5306616291415825</v>
      </c>
      <c r="D22" s="438">
        <v>0.531187612881984</v>
      </c>
      <c r="E22" s="439">
        <f t="shared" si="0"/>
        <v>0.00052598374040147</v>
      </c>
      <c r="F22" s="440"/>
      <c r="G22" s="441" t="s">
        <v>163</v>
      </c>
      <c r="I22" s="443">
        <f t="shared" si="1"/>
        <v>-0.0009902033248624376</v>
      </c>
    </row>
    <row r="23" spans="1:9" s="442" customFormat="1" ht="12.75" customHeight="1">
      <c r="A23" s="444">
        <v>11.1</v>
      </c>
      <c r="B23" s="437" t="s">
        <v>221</v>
      </c>
      <c r="C23" s="438">
        <v>0.6537425064489085</v>
      </c>
      <c r="D23" s="438">
        <v>0.6555559900475523</v>
      </c>
      <c r="E23" s="439">
        <f t="shared" si="0"/>
        <v>0.0018134835986437503</v>
      </c>
      <c r="F23" s="440"/>
      <c r="G23" s="441" t="s">
        <v>163</v>
      </c>
      <c r="I23" s="443">
        <f t="shared" si="1"/>
        <v>-0.002766329079705643</v>
      </c>
    </row>
    <row r="24" spans="1:9" s="442" customFormat="1" ht="12.75" customHeight="1">
      <c r="A24" s="444">
        <v>11.2</v>
      </c>
      <c r="B24" s="437" t="s">
        <v>222</v>
      </c>
      <c r="C24" s="438">
        <v>0.48638977721190635</v>
      </c>
      <c r="D24" s="438">
        <v>0.4859625730784662</v>
      </c>
      <c r="E24" s="439">
        <f t="shared" si="0"/>
        <v>-0.00042720413344016217</v>
      </c>
      <c r="F24" s="440"/>
      <c r="G24" s="441" t="s">
        <v>163</v>
      </c>
      <c r="I24" s="443">
        <f t="shared" si="1"/>
        <v>0.0008790885494203149</v>
      </c>
    </row>
    <row r="25" spans="1:9" s="442" customFormat="1" ht="12.75" customHeight="1">
      <c r="A25" s="444">
        <v>12</v>
      </c>
      <c r="B25" s="437" t="s">
        <v>51</v>
      </c>
      <c r="C25" s="438">
        <v>0.4012484921635577</v>
      </c>
      <c r="D25" s="438">
        <v>0.5005560143995935</v>
      </c>
      <c r="E25" s="439">
        <f t="shared" si="0"/>
        <v>0.09930752223603584</v>
      </c>
      <c r="F25" s="440"/>
      <c r="G25" s="441" t="s">
        <v>163</v>
      </c>
      <c r="I25" s="443">
        <f t="shared" si="1"/>
        <v>-0.19839442415880892</v>
      </c>
    </row>
    <row r="26" spans="1:9" s="442" customFormat="1" ht="12.75" customHeight="1" hidden="1">
      <c r="A26" s="444">
        <v>13</v>
      </c>
      <c r="B26" s="437" t="s">
        <v>121</v>
      </c>
      <c r="C26" s="438">
        <v>1.0973283187665261</v>
      </c>
      <c r="D26" s="438">
        <v>1.1417861517834462</v>
      </c>
      <c r="E26" s="439">
        <f t="shared" si="0"/>
        <v>0.04445783301692008</v>
      </c>
      <c r="F26" s="440"/>
      <c r="G26" s="441"/>
      <c r="I26" s="443">
        <f t="shared" si="1"/>
        <v>-0.0389370925085033</v>
      </c>
    </row>
    <row r="27" spans="1:9" s="442" customFormat="1" ht="12.75" customHeight="1" hidden="1">
      <c r="A27" s="444">
        <v>14</v>
      </c>
      <c r="B27" s="437" t="s">
        <v>122</v>
      </c>
      <c r="C27" s="438">
        <v>0.8113736937139222</v>
      </c>
      <c r="D27" s="438">
        <v>0.755424832839976</v>
      </c>
      <c r="E27" s="439">
        <f t="shared" si="0"/>
        <v>-0.05594886087394624</v>
      </c>
      <c r="F27" s="440"/>
      <c r="G27" s="441"/>
      <c r="I27" s="443">
        <f t="shared" si="1"/>
        <v>0.07406277691932606</v>
      </c>
    </row>
    <row r="28" spans="1:9" s="442" customFormat="1" ht="12.75" customHeight="1" hidden="1">
      <c r="A28" s="444">
        <v>15.1</v>
      </c>
      <c r="B28" s="437" t="s">
        <v>123</v>
      </c>
      <c r="C28" s="438">
        <v>0.15001680793334454</v>
      </c>
      <c r="D28" s="438">
        <v>0.1356161616161616</v>
      </c>
      <c r="E28" s="439">
        <f t="shared" si="0"/>
        <v>-0.014400646317182936</v>
      </c>
      <c r="F28" s="440"/>
      <c r="G28" s="441"/>
      <c r="I28" s="443">
        <f t="shared" si="1"/>
        <v>0.10618680064063102</v>
      </c>
    </row>
    <row r="29" spans="1:9" s="442" customFormat="1" ht="12.75" customHeight="1" hidden="1">
      <c r="A29" s="444">
        <v>15.2</v>
      </c>
      <c r="B29" s="437" t="s">
        <v>128</v>
      </c>
      <c r="C29" s="438">
        <v>0.874312289728874</v>
      </c>
      <c r="D29" s="438">
        <v>60.35779398359161</v>
      </c>
      <c r="E29" s="439">
        <f t="shared" si="0"/>
        <v>59.483481693862736</v>
      </c>
      <c r="F29" s="440"/>
      <c r="G29" s="441"/>
      <c r="I29" s="443">
        <f t="shared" si="1"/>
        <v>-0.9855145088641484</v>
      </c>
    </row>
    <row r="30" spans="1:9" s="442" customFormat="1" ht="12.75" customHeight="1" hidden="1">
      <c r="A30" s="444">
        <v>15.3</v>
      </c>
      <c r="B30" s="437" t="s">
        <v>129</v>
      </c>
      <c r="C30" s="438">
        <v>45.37048866735301</v>
      </c>
      <c r="D30" s="438">
        <v>50.44178401532097</v>
      </c>
      <c r="E30" s="439">
        <f t="shared" si="0"/>
        <v>5.071295347967961</v>
      </c>
      <c r="F30" s="440"/>
      <c r="G30" s="441"/>
      <c r="I30" s="443">
        <f t="shared" si="1"/>
        <v>-0.10053758896449083</v>
      </c>
    </row>
    <row r="31" spans="1:9" s="442" customFormat="1" ht="12.75" customHeight="1" hidden="1">
      <c r="A31" s="444">
        <v>15.4</v>
      </c>
      <c r="B31" s="437" t="s">
        <v>130</v>
      </c>
      <c r="C31" s="438">
        <v>0.572375653933255</v>
      </c>
      <c r="D31" s="438">
        <v>0.5744124923130491</v>
      </c>
      <c r="E31" s="439">
        <f t="shared" si="0"/>
        <v>0.0020368383797941814</v>
      </c>
      <c r="F31" s="440"/>
      <c r="G31" s="441"/>
      <c r="I31" s="443">
        <f t="shared" si="1"/>
        <v>-0.0035459507010235924</v>
      </c>
    </row>
    <row r="32" spans="1:9" s="442" customFormat="1" ht="12.75" customHeight="1" hidden="1">
      <c r="A32" s="444">
        <v>15.5</v>
      </c>
      <c r="B32" s="437" t="s">
        <v>131</v>
      </c>
      <c r="C32" s="438">
        <v>0.15923905662939658</v>
      </c>
      <c r="D32" s="438">
        <v>0.08169223281629441</v>
      </c>
      <c r="E32" s="439">
        <f t="shared" si="0"/>
        <v>-0.07754682381310217</v>
      </c>
      <c r="F32" s="440"/>
      <c r="G32" s="441"/>
      <c r="I32" s="443">
        <f t="shared" si="1"/>
        <v>0.949255775484626</v>
      </c>
    </row>
    <row r="33" spans="1:9" s="442" customFormat="1" ht="12.75" customHeight="1" hidden="1">
      <c r="A33" s="444">
        <v>15.6</v>
      </c>
      <c r="B33" s="437" t="s">
        <v>223</v>
      </c>
      <c r="C33" s="438">
        <v>0</v>
      </c>
      <c r="D33" s="438">
        <v>0</v>
      </c>
      <c r="E33" s="439">
        <f t="shared" si="0"/>
        <v>0</v>
      </c>
      <c r="F33" s="440"/>
      <c r="G33" s="441"/>
      <c r="I33" s="443" t="e">
        <f t="shared" si="1"/>
        <v>#DIV/0!</v>
      </c>
    </row>
    <row r="34" spans="1:9" s="442" customFormat="1" ht="12.75" customHeight="1" hidden="1">
      <c r="A34" s="444">
        <v>15.7</v>
      </c>
      <c r="B34" s="437" t="s">
        <v>132</v>
      </c>
      <c r="C34" s="438">
        <v>0.14964252765129238</v>
      </c>
      <c r="D34" s="438">
        <v>0.09196620817664393</v>
      </c>
      <c r="E34" s="439">
        <f t="shared" si="0"/>
        <v>-0.05767631947464845</v>
      </c>
      <c r="F34" s="440"/>
      <c r="G34" s="441"/>
      <c r="I34" s="443">
        <f t="shared" si="1"/>
        <v>0.6271468685961996</v>
      </c>
    </row>
    <row r="35" spans="1:9" s="442" customFormat="1" ht="12.75" customHeight="1" hidden="1">
      <c r="A35" s="444">
        <v>15.8</v>
      </c>
      <c r="B35" s="437" t="s">
        <v>133</v>
      </c>
      <c r="C35" s="438">
        <v>0</v>
      </c>
      <c r="D35" s="438">
        <v>0</v>
      </c>
      <c r="E35" s="439">
        <f t="shared" si="0"/>
        <v>0</v>
      </c>
      <c r="F35" s="440"/>
      <c r="G35" s="441"/>
      <c r="I35" s="443" t="e">
        <f t="shared" si="1"/>
        <v>#DIV/0!</v>
      </c>
    </row>
    <row r="36" spans="1:9" s="442" customFormat="1" ht="12.75" customHeight="1" hidden="1">
      <c r="A36" s="444">
        <v>16</v>
      </c>
      <c r="B36" s="437" t="s">
        <v>124</v>
      </c>
      <c r="C36" s="438">
        <v>0.27203955311901695</v>
      </c>
      <c r="D36" s="438">
        <v>0.2716735808943254</v>
      </c>
      <c r="E36" s="439">
        <f t="shared" si="0"/>
        <v>-0.00036597222469153534</v>
      </c>
      <c r="F36" s="440"/>
      <c r="G36" s="441"/>
      <c r="I36" s="443">
        <f t="shared" si="1"/>
        <v>0.001347102738097572</v>
      </c>
    </row>
    <row r="37" spans="1:9" s="442" customFormat="1" ht="12.75" customHeight="1">
      <c r="A37" s="444">
        <v>17</v>
      </c>
      <c r="B37" s="437" t="s">
        <v>52</v>
      </c>
      <c r="C37" s="438">
        <v>0.5746913110632479</v>
      </c>
      <c r="D37" s="438">
        <v>0.5860828547279134</v>
      </c>
      <c r="E37" s="439">
        <f t="shared" si="0"/>
        <v>0.011391543664665549</v>
      </c>
      <c r="F37" s="440"/>
      <c r="G37" s="441" t="s">
        <v>163</v>
      </c>
      <c r="I37" s="443">
        <f t="shared" si="1"/>
        <v>-0.019436746140533367</v>
      </c>
    </row>
    <row r="38" spans="1:9" s="442" customFormat="1" ht="12.75" customHeight="1">
      <c r="A38" s="444">
        <v>17.1</v>
      </c>
      <c r="B38" s="437" t="s">
        <v>224</v>
      </c>
      <c r="C38" s="438">
        <v>0.5204281997574768</v>
      </c>
      <c r="D38" s="438">
        <v>0.5458754996615487</v>
      </c>
      <c r="E38" s="439">
        <f t="shared" si="0"/>
        <v>0.025447299904071907</v>
      </c>
      <c r="F38" s="440"/>
      <c r="G38" s="441" t="s">
        <v>163</v>
      </c>
      <c r="I38" s="443">
        <f t="shared" si="1"/>
        <v>-0.04661740620315369</v>
      </c>
    </row>
    <row r="39" spans="1:9" s="442" customFormat="1" ht="12.75" customHeight="1">
      <c r="A39" s="444">
        <v>17.2</v>
      </c>
      <c r="B39" s="437" t="s">
        <v>225</v>
      </c>
      <c r="C39" s="438">
        <v>0.656647619972165</v>
      </c>
      <c r="D39" s="438">
        <v>0.643365898966499</v>
      </c>
      <c r="E39" s="439">
        <f t="shared" si="0"/>
        <v>-0.013281721005666047</v>
      </c>
      <c r="F39" s="440"/>
      <c r="G39" s="441" t="s">
        <v>163</v>
      </c>
      <c r="I39" s="443">
        <f t="shared" si="1"/>
        <v>0.02064411717655812</v>
      </c>
    </row>
    <row r="40" spans="1:9" s="442" customFormat="1" ht="12.75" customHeight="1" hidden="1">
      <c r="A40" s="444">
        <v>17.3</v>
      </c>
      <c r="B40" s="437" t="s">
        <v>226</v>
      </c>
      <c r="C40" s="438">
        <v>0.4334145763034328</v>
      </c>
      <c r="D40" s="438">
        <v>0.4069150585648996</v>
      </c>
      <c r="E40" s="439">
        <f t="shared" si="0"/>
        <v>-0.02649951773853315</v>
      </c>
      <c r="F40" s="440"/>
      <c r="G40" s="441"/>
      <c r="I40" s="443">
        <f t="shared" si="1"/>
        <v>0.06512297144271617</v>
      </c>
    </row>
    <row r="41" spans="1:9" s="442" customFormat="1" ht="12.75" customHeight="1">
      <c r="A41" s="444">
        <v>18</v>
      </c>
      <c r="B41" s="437" t="s">
        <v>53</v>
      </c>
      <c r="C41" s="438">
        <v>0.4638843009716006</v>
      </c>
      <c r="D41" s="438">
        <v>0.4964684291175664</v>
      </c>
      <c r="E41" s="439">
        <f t="shared" si="0"/>
        <v>0.032584128145965785</v>
      </c>
      <c r="F41" s="440"/>
      <c r="G41" s="441" t="s">
        <v>163</v>
      </c>
      <c r="I41" s="443">
        <f t="shared" si="1"/>
        <v>-0.06563182316322014</v>
      </c>
    </row>
    <row r="42" spans="1:9" s="442" customFormat="1" ht="12.75" customHeight="1">
      <c r="A42" s="444">
        <v>18.1</v>
      </c>
      <c r="B42" s="437" t="s">
        <v>227</v>
      </c>
      <c r="C42" s="438">
        <v>0.4658526454309241</v>
      </c>
      <c r="D42" s="438">
        <v>0.5033184502643928</v>
      </c>
      <c r="E42" s="439">
        <f t="shared" si="0"/>
        <v>0.03746580483346873</v>
      </c>
      <c r="F42" s="440"/>
      <c r="G42" s="441" t="s">
        <v>163</v>
      </c>
      <c r="I42" s="443">
        <f t="shared" si="1"/>
        <v>-0.07443757488680969</v>
      </c>
    </row>
    <row r="43" spans="1:9" s="442" customFormat="1" ht="12.75" customHeight="1">
      <c r="A43" s="444">
        <v>18.2</v>
      </c>
      <c r="B43" s="437" t="s">
        <v>228</v>
      </c>
      <c r="C43" s="438">
        <v>0.4491679452798093</v>
      </c>
      <c r="D43" s="438">
        <v>0.456669937201608</v>
      </c>
      <c r="E43" s="439">
        <f t="shared" si="0"/>
        <v>0.007501991921798679</v>
      </c>
      <c r="F43" s="440"/>
      <c r="G43" s="441" t="s">
        <v>163</v>
      </c>
      <c r="I43" s="443">
        <f t="shared" si="1"/>
        <v>-0.016427601886319754</v>
      </c>
    </row>
    <row r="44" spans="1:9" s="442" customFormat="1" ht="12.75" customHeight="1" hidden="1">
      <c r="A44" s="444">
        <v>19.1</v>
      </c>
      <c r="B44" s="437" t="s">
        <v>126</v>
      </c>
      <c r="C44" s="438">
        <v>0.5046464212154206</v>
      </c>
      <c r="D44" s="438">
        <v>0.7732590936346265</v>
      </c>
      <c r="E44" s="439">
        <f t="shared" si="0"/>
        <v>0.26861267241920594</v>
      </c>
      <c r="F44" s="440"/>
      <c r="G44" s="441"/>
      <c r="I44" s="443">
        <f t="shared" si="1"/>
        <v>-0.3473773210433506</v>
      </c>
    </row>
    <row r="45" spans="1:9" s="442" customFormat="1" ht="12.75" customHeight="1">
      <c r="A45" s="444" t="s">
        <v>178</v>
      </c>
      <c r="B45" s="437" t="s">
        <v>155</v>
      </c>
      <c r="C45" s="438">
        <v>0.3284185686377683</v>
      </c>
      <c r="D45" s="438">
        <v>0.3221458224081753</v>
      </c>
      <c r="E45" s="439">
        <f t="shared" si="0"/>
        <v>-0.006272746229593007</v>
      </c>
      <c r="F45" s="440"/>
      <c r="G45" s="441" t="s">
        <v>163</v>
      </c>
      <c r="I45" s="443">
        <f t="shared" si="1"/>
        <v>0.01947176028142028</v>
      </c>
    </row>
    <row r="46" spans="1:9" s="442" customFormat="1" ht="12.75" customHeight="1">
      <c r="A46" s="444">
        <v>19.2</v>
      </c>
      <c r="B46" s="437" t="s">
        <v>54</v>
      </c>
      <c r="C46" s="438">
        <v>0.3286270572430109</v>
      </c>
      <c r="D46" s="438">
        <v>0.3188606376429931</v>
      </c>
      <c r="E46" s="439">
        <f t="shared" si="0"/>
        <v>-0.009766419600017784</v>
      </c>
      <c r="F46" s="440"/>
      <c r="G46" s="441" t="s">
        <v>163</v>
      </c>
      <c r="I46" s="443">
        <f t="shared" si="1"/>
        <v>0.030629116444760296</v>
      </c>
    </row>
    <row r="47" spans="1:9" s="442" customFormat="1" ht="12.75" customHeight="1" hidden="1">
      <c r="A47" s="444">
        <v>19.3</v>
      </c>
      <c r="B47" s="437" t="s">
        <v>229</v>
      </c>
      <c r="C47" s="438">
        <v>0.6760481991537005</v>
      </c>
      <c r="D47" s="438">
        <v>0.5855106046415388</v>
      </c>
      <c r="E47" s="439">
        <f t="shared" si="0"/>
        <v>-0.0905375945121617</v>
      </c>
      <c r="F47" s="440"/>
      <c r="G47" s="441"/>
      <c r="I47" s="443">
        <f t="shared" si="1"/>
        <v>0.15463015322769524</v>
      </c>
    </row>
    <row r="48" spans="1:9" s="442" customFormat="1" ht="12.75" customHeight="1">
      <c r="A48" s="444" t="s">
        <v>179</v>
      </c>
      <c r="B48" s="437" t="s">
        <v>156</v>
      </c>
      <c r="C48" s="438">
        <v>0.4479855104842065</v>
      </c>
      <c r="D48" s="438">
        <v>0.4505736435051096</v>
      </c>
      <c r="E48" s="439">
        <f t="shared" si="0"/>
        <v>0.002588133020903105</v>
      </c>
      <c r="F48" s="440"/>
      <c r="G48" s="441" t="s">
        <v>163</v>
      </c>
      <c r="I48" s="443">
        <f t="shared" si="1"/>
        <v>-0.0057440843649207984</v>
      </c>
    </row>
    <row r="49" spans="1:9" s="442" customFormat="1" ht="12.75" customHeight="1">
      <c r="A49" s="444">
        <v>19.4</v>
      </c>
      <c r="B49" s="437" t="s">
        <v>55</v>
      </c>
      <c r="C49" s="438">
        <v>0.4488956702109167</v>
      </c>
      <c r="D49" s="438">
        <v>0.4514998777023155</v>
      </c>
      <c r="E49" s="439">
        <f t="shared" si="0"/>
        <v>0.00260420749139878</v>
      </c>
      <c r="F49" s="440"/>
      <c r="G49" s="441" t="s">
        <v>163</v>
      </c>
      <c r="I49" s="443">
        <f t="shared" si="1"/>
        <v>-0.005767902982945605</v>
      </c>
    </row>
    <row r="50" spans="1:9" s="442" customFormat="1" ht="12.75" customHeight="1">
      <c r="A50" s="444">
        <v>21.1</v>
      </c>
      <c r="B50" s="437" t="s">
        <v>56</v>
      </c>
      <c r="C50" s="438">
        <v>0.32814542571923755</v>
      </c>
      <c r="D50" s="438">
        <v>0.3266079194924732</v>
      </c>
      <c r="E50" s="439">
        <f t="shared" si="0"/>
        <v>-0.0015375062267643513</v>
      </c>
      <c r="F50" s="440"/>
      <c r="G50" s="441" t="s">
        <v>163</v>
      </c>
      <c r="I50" s="443">
        <f t="shared" si="1"/>
        <v>0.004707498303021973</v>
      </c>
    </row>
    <row r="51" spans="1:9" s="442" customFormat="1" ht="12.75" customHeight="1">
      <c r="A51" s="444">
        <v>21.2</v>
      </c>
      <c r="B51" s="437" t="s">
        <v>57</v>
      </c>
      <c r="C51" s="438">
        <v>0.44471446396337344</v>
      </c>
      <c r="D51" s="438">
        <v>0.4472061221491028</v>
      </c>
      <c r="E51" s="439">
        <f t="shared" si="0"/>
        <v>0.002491658185729384</v>
      </c>
      <c r="F51" s="440"/>
      <c r="G51" s="441" t="s">
        <v>163</v>
      </c>
      <c r="I51" s="443">
        <f t="shared" si="1"/>
        <v>-0.005571610186719811</v>
      </c>
    </row>
    <row r="52" spans="1:9" s="442" customFormat="1" ht="12.75" customHeight="1">
      <c r="A52" s="444">
        <v>22</v>
      </c>
      <c r="B52" s="437" t="s">
        <v>58</v>
      </c>
      <c r="C52" s="438">
        <v>0.393644048862273</v>
      </c>
      <c r="D52" s="438">
        <v>0.4210388890912864</v>
      </c>
      <c r="E52" s="439">
        <f t="shared" si="0"/>
        <v>0.027394840229013395</v>
      </c>
      <c r="F52" s="440"/>
      <c r="G52" s="441" t="s">
        <v>163</v>
      </c>
      <c r="I52" s="443">
        <f t="shared" si="1"/>
        <v>-0.06506486915766552</v>
      </c>
    </row>
    <row r="53" spans="1:9" s="442" customFormat="1" ht="12.75" customHeight="1">
      <c r="A53" s="444">
        <v>23</v>
      </c>
      <c r="B53" s="437" t="s">
        <v>59</v>
      </c>
      <c r="C53" s="438">
        <v>0.5917716182235205</v>
      </c>
      <c r="D53" s="438">
        <v>0.6054962316105119</v>
      </c>
      <c r="E53" s="439">
        <f t="shared" si="0"/>
        <v>0.01372461338699138</v>
      </c>
      <c r="F53" s="440"/>
      <c r="G53" s="441" t="s">
        <v>163</v>
      </c>
      <c r="I53" s="443">
        <f t="shared" si="1"/>
        <v>-0.022666719742394315</v>
      </c>
    </row>
    <row r="54" spans="1:9" s="442" customFormat="1" ht="12.75" customHeight="1">
      <c r="A54" s="444">
        <v>24</v>
      </c>
      <c r="B54" s="437" t="s">
        <v>60</v>
      </c>
      <c r="C54" s="438">
        <v>0.5735751326155187</v>
      </c>
      <c r="D54" s="438">
        <v>0.5690366462504696</v>
      </c>
      <c r="E54" s="439">
        <f t="shared" si="0"/>
        <v>-0.004538486365049166</v>
      </c>
      <c r="F54" s="440"/>
      <c r="G54" s="441" t="s">
        <v>163</v>
      </c>
      <c r="I54" s="443">
        <f t="shared" si="1"/>
        <v>0.007975736527610966</v>
      </c>
    </row>
    <row r="55" spans="1:9" s="442" customFormat="1" ht="12.75" customHeight="1">
      <c r="A55" s="444">
        <v>26</v>
      </c>
      <c r="B55" s="437" t="s">
        <v>61</v>
      </c>
      <c r="C55" s="438">
        <v>0.5691016702229896</v>
      </c>
      <c r="D55" s="438">
        <v>0.5786835430486172</v>
      </c>
      <c r="E55" s="439">
        <f t="shared" si="0"/>
        <v>0.009581872825627613</v>
      </c>
      <c r="F55" s="440"/>
      <c r="G55" s="441" t="s">
        <v>163</v>
      </c>
      <c r="I55" s="443">
        <f t="shared" si="1"/>
        <v>-0.01655805308571323</v>
      </c>
    </row>
    <row r="56" spans="1:9" s="442" customFormat="1" ht="12.75" customHeight="1">
      <c r="A56" s="444">
        <v>27</v>
      </c>
      <c r="B56" s="437" t="s">
        <v>62</v>
      </c>
      <c r="C56" s="438">
        <v>0.5753828266888459</v>
      </c>
      <c r="D56" s="438">
        <v>0.5395531373020181</v>
      </c>
      <c r="E56" s="439">
        <f t="shared" si="0"/>
        <v>-0.035829689386827734</v>
      </c>
      <c r="F56" s="440"/>
      <c r="G56" s="441" t="s">
        <v>163</v>
      </c>
      <c r="I56" s="443">
        <f t="shared" si="1"/>
        <v>0.06640622935859586</v>
      </c>
    </row>
    <row r="57" spans="1:9" s="442" customFormat="1" ht="12.75" customHeight="1">
      <c r="A57" s="444">
        <v>28</v>
      </c>
      <c r="B57" s="437" t="s">
        <v>63</v>
      </c>
      <c r="C57" s="438">
        <v>0.4366574054513298</v>
      </c>
      <c r="D57" s="438">
        <v>0.42875702004801475</v>
      </c>
      <c r="E57" s="439">
        <f t="shared" si="0"/>
        <v>-0.007900385403315058</v>
      </c>
      <c r="F57" s="440"/>
      <c r="G57" s="441" t="s">
        <v>163</v>
      </c>
      <c r="I57" s="443">
        <f t="shared" si="1"/>
        <v>0.01842625317815272</v>
      </c>
    </row>
    <row r="58" spans="1:9" s="442" customFormat="1" ht="12.75" customHeight="1">
      <c r="A58" s="444">
        <v>30</v>
      </c>
      <c r="B58" s="437" t="s">
        <v>157</v>
      </c>
      <c r="C58" s="438">
        <v>1.8485104065172675</v>
      </c>
      <c r="D58" s="438">
        <v>1.8013459470273203</v>
      </c>
      <c r="E58" s="439">
        <f t="shared" si="0"/>
        <v>-0.047164459489947186</v>
      </c>
      <c r="F58" s="440"/>
      <c r="G58" s="441" t="s">
        <v>163</v>
      </c>
      <c r="I58" s="443">
        <f t="shared" si="1"/>
        <v>0.02618289927472328</v>
      </c>
    </row>
    <row r="59" spans="1:9" s="442" customFormat="1" ht="12.75" customHeight="1">
      <c r="A59" s="444">
        <v>34</v>
      </c>
      <c r="B59" s="437" t="s">
        <v>64</v>
      </c>
      <c r="C59" s="438">
        <v>0.37410346663572003</v>
      </c>
      <c r="D59" s="438">
        <v>0.3751588709816989</v>
      </c>
      <c r="E59" s="439">
        <f t="shared" si="0"/>
        <v>0.0010554043459788942</v>
      </c>
      <c r="F59" s="440"/>
      <c r="G59" s="441" t="s">
        <v>163</v>
      </c>
      <c r="I59" s="443">
        <f t="shared" si="1"/>
        <v>-0.002813219751987117</v>
      </c>
    </row>
    <row r="60" spans="1:9" s="442" customFormat="1" ht="12.75" customHeight="1" hidden="1">
      <c r="A60" s="444">
        <v>35</v>
      </c>
      <c r="B60" s="437" t="s">
        <v>256</v>
      </c>
      <c r="C60" s="438">
        <v>0.4195313177054063</v>
      </c>
      <c r="D60" s="438">
        <v>0.4175029188997655</v>
      </c>
      <c r="E60" s="439">
        <f t="shared" si="0"/>
        <v>-0.0020283988056408186</v>
      </c>
      <c r="F60" s="440"/>
      <c r="G60" s="441"/>
      <c r="I60" s="443">
        <f t="shared" si="1"/>
        <v>0.004858406286083472</v>
      </c>
    </row>
    <row r="61" spans="1:9" s="442" customFormat="1" ht="20.25" customHeight="1">
      <c r="A61" s="444"/>
      <c r="B61" s="391" t="s">
        <v>230</v>
      </c>
      <c r="C61" s="447">
        <v>0.4213272228179415</v>
      </c>
      <c r="D61" s="438">
        <v>0.4220640500350028</v>
      </c>
      <c r="E61" s="448">
        <f t="shared" si="0"/>
        <v>0.0007368272170613088</v>
      </c>
      <c r="F61" s="440"/>
      <c r="G61" s="441" t="s">
        <v>163</v>
      </c>
      <c r="I61" s="443">
        <f t="shared" si="1"/>
        <v>-0.0017457710909047908</v>
      </c>
    </row>
    <row r="63" ht="15.75">
      <c r="C63" s="451"/>
    </row>
    <row r="64" ht="15.75">
      <c r="C64" s="453"/>
    </row>
  </sheetData>
  <sheetProtection/>
  <mergeCells count="2">
    <mergeCell ref="A1:E1"/>
    <mergeCell ref="E4:E5"/>
  </mergeCells>
  <printOptions horizontalCentered="1"/>
  <pageMargins left="0.25" right="0.25" top="1" bottom="0.5" header="0.5" footer="0.5"/>
  <pageSetup fitToHeight="1" fitToWidth="1" horizontalDpi="600" verticalDpi="600" orientation="portrait" r:id="rId1"/>
  <headerFooter alignWithMargins="0">
    <oddFooter>&amp;LCalifornia Department of Insurance&amp;RRate Specialist Bureau - 10/3/2019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115" zoomScaleNormal="115" zoomScalePageLayoutView="0" workbookViewId="0" topLeftCell="A1">
      <selection activeCell="A1" sqref="A1:R1"/>
    </sheetView>
  </sheetViews>
  <sheetFormatPr defaultColWidth="9.28125" defaultRowHeight="12.75"/>
  <cols>
    <col min="1" max="1" width="6.28125" style="12" customWidth="1"/>
    <col min="2" max="2" width="6.140625" style="12" bestFit="1" customWidth="1"/>
    <col min="3" max="3" width="17.7109375" style="12" customWidth="1"/>
    <col min="4" max="4" width="16.28125" style="13" bestFit="1" customWidth="1"/>
    <col min="5" max="6" width="14.7109375" style="13" customWidth="1"/>
    <col min="7" max="12" width="14.7109375" style="12" customWidth="1"/>
    <col min="13" max="13" width="15.7109375" style="12" hidden="1" customWidth="1"/>
    <col min="14" max="14" width="14.7109375" style="12" hidden="1" customWidth="1"/>
    <col min="15" max="15" width="11.57421875" style="15" customWidth="1"/>
    <col min="16" max="16" width="6.140625" style="15" bestFit="1" customWidth="1"/>
    <col min="17" max="17" width="9.57421875" style="12" hidden="1" customWidth="1"/>
    <col min="18" max="18" width="7.28125" style="12" hidden="1" customWidth="1"/>
    <col min="19" max="19" width="18.28125" style="12" hidden="1" customWidth="1"/>
    <col min="20" max="20" width="6.28125" style="12" hidden="1" customWidth="1"/>
    <col min="21" max="21" width="19.7109375" style="12" hidden="1" customWidth="1"/>
    <col min="22" max="22" width="18.28125" style="12" hidden="1" customWidth="1"/>
    <col min="23" max="23" width="9.7109375" style="12" hidden="1" customWidth="1"/>
    <col min="24" max="24" width="4.28125" style="12" hidden="1" customWidth="1"/>
    <col min="25" max="25" width="4.00390625" style="12" hidden="1" customWidth="1"/>
    <col min="26" max="26" width="1.28515625" style="12" hidden="1" customWidth="1"/>
    <col min="27" max="27" width="8.00390625" style="12" hidden="1" customWidth="1"/>
    <col min="28" max="28" width="9.28125" style="12" hidden="1" customWidth="1"/>
    <col min="29" max="29" width="9.28125" style="12" customWidth="1"/>
    <col min="30" max="16384" width="9.28125" style="12" customWidth="1"/>
  </cols>
  <sheetData>
    <row r="1" spans="1:26" s="10" customFormat="1" ht="37.5" customHeight="1" thickBot="1">
      <c r="A1" s="459" t="s">
        <v>195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60"/>
      <c r="Q1" s="459"/>
      <c r="R1" s="459"/>
      <c r="S1" s="51"/>
      <c r="T1" s="54" t="s">
        <v>143</v>
      </c>
      <c r="U1" s="54"/>
      <c r="V1" s="54"/>
      <c r="W1" s="54"/>
      <c r="X1" s="54"/>
      <c r="Y1" s="54"/>
      <c r="Z1" s="54"/>
    </row>
    <row r="2" spans="1:26" ht="6" customHeight="1">
      <c r="A2" s="157"/>
      <c r="B2" s="158"/>
      <c r="C2" s="158"/>
      <c r="D2" s="159"/>
      <c r="E2" s="159"/>
      <c r="F2" s="159"/>
      <c r="G2" s="158"/>
      <c r="H2" s="158"/>
      <c r="I2" s="160"/>
      <c r="J2" s="161"/>
      <c r="K2" s="161"/>
      <c r="L2" s="160"/>
      <c r="M2" s="160"/>
      <c r="N2" s="160"/>
      <c r="O2" s="183"/>
      <c r="P2" s="162"/>
      <c r="Q2" s="158"/>
      <c r="R2" s="163"/>
      <c r="S2" s="52"/>
      <c r="T2" s="55"/>
      <c r="U2" s="55"/>
      <c r="V2" s="55"/>
      <c r="W2" s="55"/>
      <c r="X2" s="55"/>
      <c r="Y2" s="55"/>
      <c r="Z2" s="55"/>
    </row>
    <row r="3" spans="1:26" s="11" customFormat="1" ht="15">
      <c r="A3" s="164"/>
      <c r="B3" s="165"/>
      <c r="C3" s="165"/>
      <c r="D3" s="166" t="s">
        <v>1</v>
      </c>
      <c r="E3" s="166" t="s">
        <v>2</v>
      </c>
      <c r="F3" s="166" t="s">
        <v>19</v>
      </c>
      <c r="G3" s="167" t="s">
        <v>6</v>
      </c>
      <c r="H3" s="167" t="s">
        <v>8</v>
      </c>
      <c r="I3" s="167" t="s">
        <v>9</v>
      </c>
      <c r="J3" s="167" t="s">
        <v>11</v>
      </c>
      <c r="K3" s="167" t="s">
        <v>12</v>
      </c>
      <c r="L3" s="167" t="s">
        <v>118</v>
      </c>
      <c r="M3" s="167" t="s">
        <v>197</v>
      </c>
      <c r="N3" s="167" t="s">
        <v>198</v>
      </c>
      <c r="O3" s="184" t="s">
        <v>13</v>
      </c>
      <c r="P3" s="168"/>
      <c r="Q3" s="165"/>
      <c r="R3" s="169"/>
      <c r="S3" s="67" t="s">
        <v>149</v>
      </c>
      <c r="T3" s="61" t="s">
        <v>144</v>
      </c>
      <c r="U3" s="55"/>
      <c r="V3" s="56"/>
      <c r="W3" s="56"/>
      <c r="X3" s="56"/>
      <c r="Y3" s="56"/>
      <c r="Z3" s="56"/>
    </row>
    <row r="4" spans="1:26" s="11" customFormat="1" ht="15">
      <c r="A4" s="164"/>
      <c r="B4" s="165"/>
      <c r="C4" s="165"/>
      <c r="D4" s="170">
        <v>2018</v>
      </c>
      <c r="E4" s="170">
        <v>2018</v>
      </c>
      <c r="F4" s="170">
        <v>2018</v>
      </c>
      <c r="G4" s="170">
        <v>2018</v>
      </c>
      <c r="H4" s="170">
        <v>2018</v>
      </c>
      <c r="I4" s="170">
        <v>2018</v>
      </c>
      <c r="J4" s="170">
        <v>2017</v>
      </c>
      <c r="K4" s="170">
        <v>2017</v>
      </c>
      <c r="L4" s="170">
        <v>2017</v>
      </c>
      <c r="M4" s="170"/>
      <c r="N4" s="170"/>
      <c r="O4" s="185"/>
      <c r="P4" s="171"/>
      <c r="Q4" s="172"/>
      <c r="R4" s="173"/>
      <c r="S4" s="53" t="s">
        <v>152</v>
      </c>
      <c r="T4" s="61" t="s">
        <v>145</v>
      </c>
      <c r="U4" s="55"/>
      <c r="V4" s="56"/>
      <c r="W4" s="56"/>
      <c r="X4" s="56"/>
      <c r="Y4" s="56"/>
      <c r="Z4" s="56"/>
    </row>
    <row r="5" spans="1:26" s="11" customFormat="1" ht="25.5" customHeight="1">
      <c r="A5" s="164"/>
      <c r="B5" s="165"/>
      <c r="C5" s="17" t="s">
        <v>0</v>
      </c>
      <c r="D5" s="174" t="s">
        <v>23</v>
      </c>
      <c r="E5" s="174" t="s">
        <v>24</v>
      </c>
      <c r="F5" s="174" t="s">
        <v>3</v>
      </c>
      <c r="G5" s="175" t="s">
        <v>25</v>
      </c>
      <c r="H5" s="175" t="s">
        <v>26</v>
      </c>
      <c r="I5" s="175" t="s">
        <v>117</v>
      </c>
      <c r="J5" s="175" t="s">
        <v>25</v>
      </c>
      <c r="K5" s="175" t="s">
        <v>26</v>
      </c>
      <c r="L5" s="175" t="s">
        <v>117</v>
      </c>
      <c r="M5" s="175" t="s">
        <v>148</v>
      </c>
      <c r="N5" s="175" t="s">
        <v>150</v>
      </c>
      <c r="O5" s="186" t="s">
        <v>140</v>
      </c>
      <c r="P5" s="176"/>
      <c r="Q5" s="177" t="s">
        <v>115</v>
      </c>
      <c r="R5" s="178" t="s">
        <v>104</v>
      </c>
      <c r="S5" s="320" t="s">
        <v>153</v>
      </c>
      <c r="T5" s="62"/>
      <c r="U5" s="63" t="s">
        <v>151</v>
      </c>
      <c r="V5" s="63" t="s">
        <v>188</v>
      </c>
      <c r="W5" s="64" t="s">
        <v>147</v>
      </c>
      <c r="X5" s="56"/>
      <c r="Y5" s="56"/>
      <c r="Z5" s="56"/>
    </row>
    <row r="6" spans="1:28" s="11" customFormat="1" ht="28.5" customHeight="1" thickBot="1">
      <c r="A6" s="179"/>
      <c r="B6" s="23"/>
      <c r="C6" s="23"/>
      <c r="D6" s="306"/>
      <c r="E6" s="306"/>
      <c r="F6" s="307" t="s">
        <v>105</v>
      </c>
      <c r="G6" s="308"/>
      <c r="H6" s="308"/>
      <c r="I6" s="309"/>
      <c r="J6" s="308"/>
      <c r="K6" s="308"/>
      <c r="L6" s="309"/>
      <c r="M6" s="309"/>
      <c r="N6" s="309"/>
      <c r="O6" s="310" t="s">
        <v>200</v>
      </c>
      <c r="P6" s="181"/>
      <c r="Q6" s="180"/>
      <c r="R6" s="182"/>
      <c r="S6" s="68" t="s">
        <v>154</v>
      </c>
      <c r="T6" s="65"/>
      <c r="U6" s="235" t="s">
        <v>187</v>
      </c>
      <c r="V6" s="235" t="s">
        <v>3</v>
      </c>
      <c r="W6" s="66" t="s">
        <v>146</v>
      </c>
      <c r="X6" s="56"/>
      <c r="Y6" s="56"/>
      <c r="Z6" s="56"/>
      <c r="AB6" s="223" t="s">
        <v>186</v>
      </c>
    </row>
    <row r="7" spans="1:26" ht="4.5" customHeight="1" thickBot="1">
      <c r="A7" s="100"/>
      <c r="B7" s="100"/>
      <c r="C7" s="101"/>
      <c r="D7" s="121"/>
      <c r="E7" s="121"/>
      <c r="F7" s="102"/>
      <c r="G7" s="101"/>
      <c r="H7" s="101"/>
      <c r="I7" s="101"/>
      <c r="J7" s="101"/>
      <c r="K7" s="101"/>
      <c r="L7" s="101"/>
      <c r="M7" s="101"/>
      <c r="N7" s="101"/>
      <c r="O7" s="103"/>
      <c r="P7" s="103"/>
      <c r="Q7" s="100"/>
      <c r="R7" s="100"/>
      <c r="T7" s="58"/>
      <c r="U7" s="57"/>
      <c r="V7" s="57"/>
      <c r="W7" s="57"/>
      <c r="X7" s="55"/>
      <c r="Y7" s="55"/>
      <c r="Z7" s="55"/>
    </row>
    <row r="8" spans="1:28" ht="15" customHeight="1">
      <c r="A8" s="145" t="s">
        <v>76</v>
      </c>
      <c r="B8" s="146"/>
      <c r="C8" s="147" t="s">
        <v>41</v>
      </c>
      <c r="D8" s="122">
        <v>1794953325</v>
      </c>
      <c r="E8" s="122">
        <v>33651460</v>
      </c>
      <c r="F8" s="122">
        <f aca="true" t="shared" si="0" ref="F8:F43">D8+E8</f>
        <v>1828604785</v>
      </c>
      <c r="G8" s="122">
        <f>+aoe_2018!G10</f>
        <v>1546265517</v>
      </c>
      <c r="H8" s="122">
        <f>+aoe_2018!H10</f>
        <v>39633795</v>
      </c>
      <c r="I8" s="122">
        <f>+aoe_2018!I10</f>
        <v>47250897.02260707</v>
      </c>
      <c r="J8" s="122">
        <f>+aoe_2017!G10</f>
        <v>860410425</v>
      </c>
      <c r="K8" s="122">
        <f>+aoe_2017!H10</f>
        <v>25260065</v>
      </c>
      <c r="L8" s="122">
        <f>+aoe_2017!I10</f>
        <v>31870834.283791624</v>
      </c>
      <c r="M8" s="123">
        <f>SUM(G8:L8)</f>
        <v>2550691533.3063984</v>
      </c>
      <c r="N8" s="123">
        <f>+M8/2</f>
        <v>1275345766.6531992</v>
      </c>
      <c r="O8" s="187">
        <v>0.7416759489268101</v>
      </c>
      <c r="P8" s="304" t="s">
        <v>181</v>
      </c>
      <c r="Q8" s="104"/>
      <c r="R8" s="104"/>
      <c r="S8" s="319">
        <f>+O8*F8</f>
        <v>1356232189.1269805</v>
      </c>
      <c r="T8" s="58" t="str">
        <f>+C8</f>
        <v>FIRE</v>
      </c>
      <c r="U8" s="59">
        <f>SUM(G8:L8)</f>
        <v>2550691533.3063984</v>
      </c>
      <c r="V8" s="59">
        <f>+F8</f>
        <v>1828604785</v>
      </c>
      <c r="W8" s="57"/>
      <c r="X8" s="55"/>
      <c r="Y8" s="55"/>
      <c r="Z8" s="55"/>
      <c r="AB8" s="223" t="s">
        <v>163</v>
      </c>
    </row>
    <row r="9" spans="1:28" ht="15" customHeight="1">
      <c r="A9" s="148" t="s">
        <v>77</v>
      </c>
      <c r="B9" s="149"/>
      <c r="C9" s="150" t="s">
        <v>42</v>
      </c>
      <c r="D9" s="233">
        <v>507872215</v>
      </c>
      <c r="E9" s="233">
        <v>13505890</v>
      </c>
      <c r="F9" s="124">
        <f t="shared" si="0"/>
        <v>521378105</v>
      </c>
      <c r="G9" s="124">
        <f>+aoe_2018!G11</f>
        <v>590601575</v>
      </c>
      <c r="H9" s="124">
        <f>+aoe_2018!H11</f>
        <v>22335830</v>
      </c>
      <c r="I9" s="124">
        <f>+aoe_2018!I11</f>
        <v>14853765.176299848</v>
      </c>
      <c r="J9" s="124">
        <f>+aoe_2017!G11</f>
        <v>607127796</v>
      </c>
      <c r="K9" s="124">
        <f>+aoe_2017!H11</f>
        <v>23242215</v>
      </c>
      <c r="L9" s="124">
        <f>+aoe_2017!I11</f>
        <v>12868158.750049885</v>
      </c>
      <c r="M9" s="125">
        <f aca="true" t="shared" si="1" ref="M9:M43">SUM(G9:L9)</f>
        <v>1271029339.9263496</v>
      </c>
      <c r="N9" s="125">
        <f aca="true" t="shared" si="2" ref="N9:N43">+M9/2</f>
        <v>635514669.9631748</v>
      </c>
      <c r="O9" s="188">
        <v>0.8084165436561005</v>
      </c>
      <c r="P9" s="292" t="s">
        <v>181</v>
      </c>
      <c r="Q9" s="104"/>
      <c r="R9" s="104"/>
      <c r="S9" s="299">
        <f aca="true" t="shared" si="3" ref="S9:S41">+O9*F9</f>
        <v>421490685.58206743</v>
      </c>
      <c r="T9" s="58" t="str">
        <f>+C9</f>
        <v>ALLIED LINES</v>
      </c>
      <c r="U9" s="59">
        <f>SUM(G9:L9)</f>
        <v>1271029339.9263496</v>
      </c>
      <c r="V9" s="59">
        <f>+F9</f>
        <v>521378105</v>
      </c>
      <c r="W9" s="57"/>
      <c r="X9" s="55"/>
      <c r="Y9" s="55"/>
      <c r="Z9" s="55"/>
      <c r="AB9" s="223" t="s">
        <v>163</v>
      </c>
    </row>
    <row r="10" spans="1:28" ht="15" customHeight="1">
      <c r="A10" s="148" t="s">
        <v>182</v>
      </c>
      <c r="B10" s="149"/>
      <c r="C10" s="150" t="s">
        <v>183</v>
      </c>
      <c r="D10" s="233">
        <v>1688603</v>
      </c>
      <c r="E10" s="233">
        <v>65745</v>
      </c>
      <c r="F10" s="124">
        <f t="shared" si="0"/>
        <v>1754348</v>
      </c>
      <c r="G10" s="124">
        <f>+aoe_2018!G12</f>
        <v>6413679</v>
      </c>
      <c r="H10" s="124">
        <f>+aoe_2018!H12</f>
        <v>255921</v>
      </c>
      <c r="I10" s="124">
        <f>+aoe_2018!I12</f>
        <v>184310.87374270728</v>
      </c>
      <c r="J10" s="124">
        <f>+aoe_2017!G12</f>
        <v>11833333</v>
      </c>
      <c r="K10" s="124">
        <f>+aoe_2017!H12</f>
        <v>210504</v>
      </c>
      <c r="L10" s="124">
        <f>+aoe_2017!I12</f>
        <v>128257.75589052371</v>
      </c>
      <c r="M10" s="125">
        <f>SUM(G10:L10)</f>
        <v>19026005.62963323</v>
      </c>
      <c r="N10" s="125">
        <f>+M10/2</f>
        <v>9513002.814816615</v>
      </c>
      <c r="O10" s="188">
        <v>1.1892905248728796</v>
      </c>
      <c r="P10" s="292" t="s">
        <v>201</v>
      </c>
      <c r="Q10" s="104"/>
      <c r="R10" s="104"/>
      <c r="S10" s="299">
        <f t="shared" si="3"/>
        <v>2086429.4537296866</v>
      </c>
      <c r="T10" s="58"/>
      <c r="U10" s="59"/>
      <c r="V10" s="59"/>
      <c r="W10" s="57"/>
      <c r="X10" s="55"/>
      <c r="Y10" s="55"/>
      <c r="Z10" s="55"/>
      <c r="AB10" s="223" t="s">
        <v>163</v>
      </c>
    </row>
    <row r="11" spans="1:28" ht="15" customHeight="1">
      <c r="A11" s="148" t="s">
        <v>184</v>
      </c>
      <c r="B11" s="149"/>
      <c r="C11" s="150" t="s">
        <v>185</v>
      </c>
      <c r="D11" s="233">
        <v>4218007</v>
      </c>
      <c r="E11" s="233">
        <v>62198</v>
      </c>
      <c r="F11" s="124">
        <f t="shared" si="0"/>
        <v>4280205</v>
      </c>
      <c r="G11" s="124">
        <f>+aoe_2018!G13</f>
        <v>6238528</v>
      </c>
      <c r="H11" s="124">
        <f>+aoe_2018!H13</f>
        <v>150061</v>
      </c>
      <c r="I11" s="124">
        <f>+aoe_2018!I13</f>
        <v>85791.99439113542</v>
      </c>
      <c r="J11" s="124">
        <f>+aoe_2017!G13</f>
        <v>6749098</v>
      </c>
      <c r="K11" s="124">
        <f>+aoe_2017!H13</f>
        <v>152583</v>
      </c>
      <c r="L11" s="124">
        <f>+aoe_2017!I13</f>
        <v>185767.61305872689</v>
      </c>
      <c r="M11" s="125">
        <f>SUM(G11:L11)</f>
        <v>13561829.607449863</v>
      </c>
      <c r="N11" s="125">
        <f>+M11/2</f>
        <v>6780914.803724932</v>
      </c>
      <c r="O11" s="188">
        <v>0.7218151073181298</v>
      </c>
      <c r="P11" s="292" t="s">
        <v>201</v>
      </c>
      <c r="Q11" s="104"/>
      <c r="R11" s="104"/>
      <c r="S11" s="299">
        <f t="shared" si="3"/>
        <v>3089516.631418596</v>
      </c>
      <c r="T11" s="58"/>
      <c r="U11" s="59"/>
      <c r="V11" s="59"/>
      <c r="W11" s="57"/>
      <c r="X11" s="55"/>
      <c r="Y11" s="55"/>
      <c r="Z11" s="55"/>
      <c r="AB11" s="223" t="s">
        <v>163</v>
      </c>
    </row>
    <row r="12" spans="1:28" ht="15" customHeight="1">
      <c r="A12" s="148" t="s">
        <v>78</v>
      </c>
      <c r="B12" s="149"/>
      <c r="C12" s="150" t="s">
        <v>43</v>
      </c>
      <c r="D12" s="233">
        <v>151667100</v>
      </c>
      <c r="E12" s="233">
        <v>9752309</v>
      </c>
      <c r="F12" s="124">
        <f t="shared" si="0"/>
        <v>161419409</v>
      </c>
      <c r="G12" s="124">
        <f>+aoe_2018!G14</f>
        <v>193196513</v>
      </c>
      <c r="H12" s="124">
        <f>+aoe_2018!H14</f>
        <v>23473346</v>
      </c>
      <c r="I12" s="124">
        <f>+aoe_2018!I14</f>
        <v>11706420.265078047</v>
      </c>
      <c r="J12" s="124">
        <f>+aoe_2017!G14</f>
        <v>318095529</v>
      </c>
      <c r="K12" s="124">
        <f>+aoe_2017!H14</f>
        <v>25327342</v>
      </c>
      <c r="L12" s="124">
        <f>+aoe_2017!I14</f>
        <v>18021840.312311858</v>
      </c>
      <c r="M12" s="125">
        <f t="shared" si="1"/>
        <v>589820990.57739</v>
      </c>
      <c r="N12" s="125">
        <f t="shared" si="2"/>
        <v>294910495.288695</v>
      </c>
      <c r="O12" s="188">
        <v>0.8591806072941753</v>
      </c>
      <c r="P12" s="292" t="s">
        <v>181</v>
      </c>
      <c r="Q12" s="104"/>
      <c r="R12" s="104"/>
      <c r="S12" s="299">
        <f t="shared" si="3"/>
        <v>138688425.85368687</v>
      </c>
      <c r="T12" s="58"/>
      <c r="U12" s="57"/>
      <c r="V12" s="57"/>
      <c r="W12" s="57"/>
      <c r="X12" s="55"/>
      <c r="Y12" s="55"/>
      <c r="Z12" s="55"/>
      <c r="AB12" s="223" t="s">
        <v>163</v>
      </c>
    </row>
    <row r="13" spans="1:28" ht="15" customHeight="1">
      <c r="A13" s="148" t="s">
        <v>79</v>
      </c>
      <c r="B13" s="149"/>
      <c r="C13" s="150" t="s">
        <v>44</v>
      </c>
      <c r="D13" s="233">
        <v>14176373171</v>
      </c>
      <c r="E13" s="233">
        <v>289854156</v>
      </c>
      <c r="F13" s="124">
        <f t="shared" si="0"/>
        <v>14466227327</v>
      </c>
      <c r="G13" s="124">
        <f>+aoe_2018!G15</f>
        <v>10533275000</v>
      </c>
      <c r="H13" s="124">
        <f>+aoe_2018!H15</f>
        <v>479096983</v>
      </c>
      <c r="I13" s="124">
        <f>+aoe_2018!I15</f>
        <v>1151130421.4229054</v>
      </c>
      <c r="J13" s="124">
        <f>+aoe_2017!G15</f>
        <v>9147135617</v>
      </c>
      <c r="K13" s="124">
        <f>+aoe_2017!H15</f>
        <v>404218293</v>
      </c>
      <c r="L13" s="124">
        <f>+aoe_2017!I15</f>
        <v>1077418457.6626189</v>
      </c>
      <c r="M13" s="125">
        <f t="shared" si="1"/>
        <v>22792274772.085526</v>
      </c>
      <c r="N13" s="125">
        <f t="shared" si="2"/>
        <v>11396137386.042763</v>
      </c>
      <c r="O13" s="188">
        <v>0.6039487298624389</v>
      </c>
      <c r="P13" s="292" t="s">
        <v>181</v>
      </c>
      <c r="Q13" s="104"/>
      <c r="R13" s="104"/>
      <c r="S13" s="299">
        <f t="shared" si="3"/>
        <v>8736859620.042953</v>
      </c>
      <c r="T13" s="58"/>
      <c r="U13" s="57"/>
      <c r="V13" s="57"/>
      <c r="W13" s="57"/>
      <c r="X13" s="55"/>
      <c r="Y13" s="55"/>
      <c r="Z13" s="55"/>
      <c r="AB13" s="223" t="s">
        <v>163</v>
      </c>
    </row>
    <row r="14" spans="1:28" ht="15" customHeight="1">
      <c r="A14" s="148" t="s">
        <v>142</v>
      </c>
      <c r="B14" s="149"/>
      <c r="C14" s="150" t="s">
        <v>141</v>
      </c>
      <c r="D14" s="124">
        <f>+D15+D16</f>
        <v>3504910755</v>
      </c>
      <c r="E14" s="124">
        <f>+E15+E16</f>
        <v>475350519</v>
      </c>
      <c r="F14" s="124">
        <f t="shared" si="0"/>
        <v>3980261274</v>
      </c>
      <c r="G14" s="124">
        <f>+aoe_2018!G16</f>
        <v>4998494754</v>
      </c>
      <c r="H14" s="124">
        <f>+aoe_2018!H16</f>
        <v>1242717862</v>
      </c>
      <c r="I14" s="124">
        <f>+aoe_2018!I16</f>
        <v>314385399.2537537</v>
      </c>
      <c r="J14" s="124">
        <f>+aoe_2017!G16</f>
        <v>4659317190</v>
      </c>
      <c r="K14" s="124">
        <f>+aoe_2017!H16</f>
        <v>1242957798</v>
      </c>
      <c r="L14" s="124">
        <f>+aoe_2017!I16</f>
        <v>306336454.04582304</v>
      </c>
      <c r="M14" s="125">
        <f t="shared" si="1"/>
        <v>12764209457.299576</v>
      </c>
      <c r="N14" s="125">
        <f t="shared" si="2"/>
        <v>6382104728.649788</v>
      </c>
      <c r="O14" s="188">
        <v>1.6986959373129669</v>
      </c>
      <c r="P14" s="292" t="s">
        <v>181</v>
      </c>
      <c r="Q14" s="104"/>
      <c r="R14" s="104"/>
      <c r="S14" s="299">
        <f t="shared" si="3"/>
        <v>6761253655.587934</v>
      </c>
      <c r="T14" s="58"/>
      <c r="U14" s="57"/>
      <c r="V14" s="57"/>
      <c r="W14" s="57"/>
      <c r="X14" s="55"/>
      <c r="Y14" s="55"/>
      <c r="Z14" s="55"/>
      <c r="AB14" s="223" t="s">
        <v>163</v>
      </c>
    </row>
    <row r="15" spans="1:28" ht="15" customHeight="1">
      <c r="A15" s="148" t="s">
        <v>80</v>
      </c>
      <c r="B15" s="149"/>
      <c r="C15" s="151" t="s">
        <v>172</v>
      </c>
      <c r="D15" s="233">
        <v>2431437730</v>
      </c>
      <c r="E15" s="233">
        <v>52266348</v>
      </c>
      <c r="F15" s="124">
        <f t="shared" si="0"/>
        <v>2483704078</v>
      </c>
      <c r="G15" s="124">
        <f>+aoe_2018!G17</f>
        <v>1932023171</v>
      </c>
      <c r="H15" s="124">
        <f>+aoe_2018!H17</f>
        <v>115802952</v>
      </c>
      <c r="I15" s="124">
        <f>+aoe_2018!I17</f>
        <v>153492656.16694325</v>
      </c>
      <c r="J15" s="124">
        <f>+aoe_2017!G17</f>
        <v>1662957658</v>
      </c>
      <c r="K15" s="124">
        <f>+aoe_2017!H17</f>
        <v>115077963</v>
      </c>
      <c r="L15" s="124">
        <f>+aoe_2017!I17</f>
        <v>94998741.28070104</v>
      </c>
      <c r="M15" s="125">
        <f t="shared" si="1"/>
        <v>4074353141.447644</v>
      </c>
      <c r="N15" s="125">
        <f t="shared" si="2"/>
        <v>2037176570.723822</v>
      </c>
      <c r="O15" s="188">
        <v>0.7620628927884272</v>
      </c>
      <c r="P15" s="292" t="s">
        <v>181</v>
      </c>
      <c r="Q15" s="104"/>
      <c r="R15" s="104"/>
      <c r="S15" s="299">
        <f t="shared" si="3"/>
        <v>1892738714.5110934</v>
      </c>
      <c r="T15" s="58"/>
      <c r="U15" s="57"/>
      <c r="V15" s="57"/>
      <c r="W15" s="57"/>
      <c r="X15" s="55"/>
      <c r="Y15" s="55"/>
      <c r="Z15" s="55"/>
      <c r="AB15" s="223" t="s">
        <v>163</v>
      </c>
    </row>
    <row r="16" spans="1:28" ht="15" customHeight="1">
      <c r="A16" s="148" t="s">
        <v>81</v>
      </c>
      <c r="B16" s="149"/>
      <c r="C16" s="151" t="s">
        <v>173</v>
      </c>
      <c r="D16" s="233">
        <v>1073473025</v>
      </c>
      <c r="E16" s="233">
        <v>423084171</v>
      </c>
      <c r="F16" s="124">
        <f t="shared" si="0"/>
        <v>1496557196</v>
      </c>
      <c r="G16" s="124">
        <f>+aoe_2018!G18</f>
        <v>3066471583</v>
      </c>
      <c r="H16" s="124">
        <f>+aoe_2018!H18</f>
        <v>1126914910</v>
      </c>
      <c r="I16" s="124">
        <f>+aoe_2018!I18</f>
        <v>168485924.7503833</v>
      </c>
      <c r="J16" s="124">
        <f>+aoe_2017!G18</f>
        <v>2996359532</v>
      </c>
      <c r="K16" s="124">
        <f>+aoe_2017!H18</f>
        <v>1127879835</v>
      </c>
      <c r="L16" s="124">
        <f>+aoe_2017!I18</f>
        <v>211208560.91453132</v>
      </c>
      <c r="M16" s="125">
        <f t="shared" si="1"/>
        <v>8697320345.664915</v>
      </c>
      <c r="N16" s="125">
        <f t="shared" si="2"/>
        <v>4348660172.832458</v>
      </c>
      <c r="O16" s="188">
        <v>2.9057761270037403</v>
      </c>
      <c r="P16" s="292"/>
      <c r="Q16" s="104"/>
      <c r="R16" s="104"/>
      <c r="S16" s="299">
        <f t="shared" si="3"/>
        <v>4348660172.832458</v>
      </c>
      <c r="T16" s="58"/>
      <c r="U16" s="57"/>
      <c r="V16" s="57"/>
      <c r="W16" s="57"/>
      <c r="X16" s="55"/>
      <c r="Y16" s="55"/>
      <c r="Z16" s="55"/>
      <c r="AB16" s="223" t="s">
        <v>163</v>
      </c>
    </row>
    <row r="17" spans="1:28" ht="15" customHeight="1">
      <c r="A17" s="148" t="s">
        <v>85</v>
      </c>
      <c r="B17" s="149"/>
      <c r="C17" s="150" t="s">
        <v>48</v>
      </c>
      <c r="D17" s="233">
        <v>1500089849</v>
      </c>
      <c r="E17" s="233">
        <v>9095258</v>
      </c>
      <c r="F17" s="124">
        <f t="shared" si="0"/>
        <v>1509185107</v>
      </c>
      <c r="G17" s="124">
        <f>+aoe_2018!G19</f>
        <v>578175264</v>
      </c>
      <c r="H17" s="124">
        <f>+aoe_2018!H19</f>
        <v>20947767</v>
      </c>
      <c r="I17" s="124">
        <f>+aoe_2018!I19</f>
        <v>38237204.86032733</v>
      </c>
      <c r="J17" s="124">
        <f>+aoe_2017!G19</f>
        <v>530767697</v>
      </c>
      <c r="K17" s="124">
        <f>+aoe_2017!H19</f>
        <v>34659729</v>
      </c>
      <c r="L17" s="124">
        <f>+aoe_2017!I19</f>
        <v>28797651.65398964</v>
      </c>
      <c r="M17" s="125">
        <f t="shared" si="1"/>
        <v>1231585313.5143168</v>
      </c>
      <c r="N17" s="125">
        <f t="shared" si="2"/>
        <v>615792656.7571584</v>
      </c>
      <c r="O17" s="188">
        <v>0.3240542517337774</v>
      </c>
      <c r="P17" s="292" t="s">
        <v>181</v>
      </c>
      <c r="Q17" s="104"/>
      <c r="R17" s="104"/>
      <c r="S17" s="299">
        <f t="shared" si="3"/>
        <v>489057850.5766458</v>
      </c>
      <c r="T17" s="58" t="str">
        <f>+C17</f>
        <v>INLAND MRN</v>
      </c>
      <c r="U17" s="59">
        <f>SUM(G17:L17)</f>
        <v>1231585313.5143168</v>
      </c>
      <c r="V17" s="59">
        <f>+F17</f>
        <v>1509185107</v>
      </c>
      <c r="W17" s="57"/>
      <c r="X17" s="55"/>
      <c r="Y17" s="55"/>
      <c r="Z17" s="55"/>
      <c r="AB17" s="223" t="s">
        <v>163</v>
      </c>
    </row>
    <row r="18" spans="1:28" ht="15" customHeight="1">
      <c r="A18" s="148" t="s">
        <v>87</v>
      </c>
      <c r="B18" s="149"/>
      <c r="C18" s="150" t="s">
        <v>159</v>
      </c>
      <c r="D18" s="233">
        <v>323228178</v>
      </c>
      <c r="E18" s="233">
        <v>167605452</v>
      </c>
      <c r="F18" s="124">
        <f t="shared" si="0"/>
        <v>490833630</v>
      </c>
      <c r="G18" s="124">
        <f>+aoe_2018!G20</f>
        <v>1206304734</v>
      </c>
      <c r="H18" s="124">
        <f>+aoe_2018!H20</f>
        <v>386955027</v>
      </c>
      <c r="I18" s="124">
        <f>+aoe_2018!I20</f>
        <v>72103929.2024612</v>
      </c>
      <c r="J18" s="124">
        <f>+aoe_2017!G20</f>
        <v>1264314676</v>
      </c>
      <c r="K18" s="124">
        <f>+aoe_2017!H20</f>
        <v>416410282</v>
      </c>
      <c r="L18" s="124">
        <f>+aoe_2017!I20</f>
        <v>53375413.658648685</v>
      </c>
      <c r="M18" s="125">
        <f t="shared" si="1"/>
        <v>3399464061.8611097</v>
      </c>
      <c r="N18" s="125">
        <f t="shared" si="2"/>
        <v>1699732030.9305549</v>
      </c>
      <c r="O18" s="188">
        <v>3.1608998662777594</v>
      </c>
      <c r="P18" s="292" t="s">
        <v>181</v>
      </c>
      <c r="Q18" s="105">
        <f>SUM(Q19:Q20)</f>
        <v>4046254</v>
      </c>
      <c r="R18" s="104"/>
      <c r="S18" s="299">
        <f t="shared" si="3"/>
        <v>1551475955.4316273</v>
      </c>
      <c r="T18" s="58"/>
      <c r="U18" s="57"/>
      <c r="V18" s="57"/>
      <c r="W18" s="57"/>
      <c r="X18" s="55"/>
      <c r="Y18" s="55"/>
      <c r="Z18" s="55"/>
      <c r="AB18" s="223" t="s">
        <v>163</v>
      </c>
    </row>
    <row r="19" spans="1:28" ht="15" customHeight="1">
      <c r="A19" s="148" t="s">
        <v>135</v>
      </c>
      <c r="B19" s="149"/>
      <c r="C19" s="151" t="s">
        <v>167</v>
      </c>
      <c r="D19" s="124">
        <f>+$R$19*D18</f>
        <v>69742366.76378547</v>
      </c>
      <c r="E19" s="124">
        <f>+$R$19*E18</f>
        <v>36163929.07735303</v>
      </c>
      <c r="F19" s="124">
        <f t="shared" si="0"/>
        <v>105906295.8411385</v>
      </c>
      <c r="G19" s="124">
        <f>+aoe_2018!G21</f>
        <v>456693840.56973463</v>
      </c>
      <c r="H19" s="124">
        <f>+aoe_2018!H21</f>
        <v>146496960.86527616</v>
      </c>
      <c r="I19" s="124">
        <f>+aoe_2018!I21</f>
        <v>27297762.679293476</v>
      </c>
      <c r="J19" s="124">
        <f>+aoe_2017!G21</f>
        <v>488522094.85095674</v>
      </c>
      <c r="K19" s="124">
        <f>+aoe_2017!H21</f>
        <v>160897937.1525682</v>
      </c>
      <c r="L19" s="124">
        <f>+aoe_2017!I21</f>
        <v>20623875.834894937</v>
      </c>
      <c r="M19" s="125">
        <f t="shared" si="1"/>
        <v>1300532471.952724</v>
      </c>
      <c r="N19" s="125">
        <f t="shared" si="2"/>
        <v>650266235.976362</v>
      </c>
      <c r="O19" s="188">
        <v>5.218747717440571</v>
      </c>
      <c r="P19" s="292" t="s">
        <v>181</v>
      </c>
      <c r="Q19" s="234">
        <v>873053</v>
      </c>
      <c r="R19" s="107">
        <f>+Q19/Q18</f>
        <v>0.21576821425446846</v>
      </c>
      <c r="S19" s="299">
        <f t="shared" si="3"/>
        <v>552698239.6835275</v>
      </c>
      <c r="T19" s="58"/>
      <c r="U19" s="57"/>
      <c r="V19" s="57"/>
      <c r="W19" s="57"/>
      <c r="X19" s="55"/>
      <c r="Y19" s="55"/>
      <c r="Z19" s="55"/>
      <c r="AB19" s="223" t="s">
        <v>163</v>
      </c>
    </row>
    <row r="20" spans="1:28" ht="15" customHeight="1">
      <c r="A20" s="148" t="s">
        <v>136</v>
      </c>
      <c r="B20" s="149"/>
      <c r="C20" s="151" t="s">
        <v>174</v>
      </c>
      <c r="D20" s="124">
        <f>+$R$20*D18</f>
        <v>253485811.23621452</v>
      </c>
      <c r="E20" s="124">
        <f>+$R$20*E18</f>
        <v>131441522.92264697</v>
      </c>
      <c r="F20" s="124">
        <f t="shared" si="0"/>
        <v>384927334.1588615</v>
      </c>
      <c r="G20" s="124">
        <f>+aoe_2018!G22</f>
        <v>749610893.4302654</v>
      </c>
      <c r="H20" s="124">
        <f>+aoe_2018!H22</f>
        <v>240458066.13472384</v>
      </c>
      <c r="I20" s="124">
        <f>+aoe_2018!I22</f>
        <v>44806166.52316772</v>
      </c>
      <c r="J20" s="124">
        <f>+aoe_2017!G22</f>
        <v>775792581.1490433</v>
      </c>
      <c r="K20" s="124">
        <f>+aoe_2017!H22</f>
        <v>255512344.8474318</v>
      </c>
      <c r="L20" s="124">
        <f>+aoe_2017!I22</f>
        <v>32751537.82375375</v>
      </c>
      <c r="M20" s="125">
        <f t="shared" si="1"/>
        <v>2098931589.908386</v>
      </c>
      <c r="N20" s="125">
        <f t="shared" si="2"/>
        <v>1049465794.954193</v>
      </c>
      <c r="O20" s="188">
        <v>2.5332965099909677</v>
      </c>
      <c r="P20" s="292" t="s">
        <v>181</v>
      </c>
      <c r="Q20" s="234">
        <v>3173201</v>
      </c>
      <c r="R20" s="107">
        <f>+Q20/Q18</f>
        <v>0.7842317857455315</v>
      </c>
      <c r="S20" s="299">
        <f t="shared" si="3"/>
        <v>975135072.2247709</v>
      </c>
      <c r="T20" s="58"/>
      <c r="U20" s="57"/>
      <c r="V20" s="57"/>
      <c r="W20" s="57"/>
      <c r="X20" s="55"/>
      <c r="Y20" s="55"/>
      <c r="Z20" s="55"/>
      <c r="AB20" s="223" t="s">
        <v>163</v>
      </c>
    </row>
    <row r="21" spans="1:28" ht="15" customHeight="1">
      <c r="A21" s="148" t="s">
        <v>88</v>
      </c>
      <c r="B21" s="149"/>
      <c r="C21" s="150" t="s">
        <v>166</v>
      </c>
      <c r="D21" s="233">
        <v>32059123</v>
      </c>
      <c r="E21" s="233">
        <v>2195575</v>
      </c>
      <c r="F21" s="124">
        <f t="shared" si="0"/>
        <v>34254698</v>
      </c>
      <c r="G21" s="124">
        <f>+aoe_2018!G23</f>
        <v>61776774</v>
      </c>
      <c r="H21" s="124">
        <f>+aoe_2018!H23</f>
        <v>4240060</v>
      </c>
      <c r="I21" s="124">
        <f>+aoe_2018!I23</f>
        <v>4176656.8469526335</v>
      </c>
      <c r="J21" s="124">
        <f>+aoe_2017!G23</f>
        <v>31426314</v>
      </c>
      <c r="K21" s="124">
        <f>+aoe_2017!H23</f>
        <v>2204388</v>
      </c>
      <c r="L21" s="124">
        <f>+aoe_2017!I23</f>
        <v>932260.6752650482</v>
      </c>
      <c r="M21" s="125">
        <f t="shared" si="1"/>
        <v>104756453.52221768</v>
      </c>
      <c r="N21" s="125">
        <f t="shared" si="2"/>
        <v>52378226.76110884</v>
      </c>
      <c r="O21" s="312">
        <v>1</v>
      </c>
      <c r="P21" s="293"/>
      <c r="Q21" s="106"/>
      <c r="R21" s="104"/>
      <c r="S21" s="299">
        <f t="shared" si="3"/>
        <v>34254698</v>
      </c>
      <c r="T21" s="58"/>
      <c r="U21" s="57"/>
      <c r="V21" s="57"/>
      <c r="W21" s="57"/>
      <c r="X21" s="55"/>
      <c r="Y21" s="55"/>
      <c r="Z21" s="55"/>
      <c r="AB21" s="223" t="s">
        <v>163</v>
      </c>
    </row>
    <row r="22" spans="1:28" ht="15" customHeight="1">
      <c r="A22" s="148" t="s">
        <v>89</v>
      </c>
      <c r="B22" s="149"/>
      <c r="C22" s="150" t="s">
        <v>52</v>
      </c>
      <c r="D22" s="124">
        <f>+D23+D24</f>
        <v>5990086043</v>
      </c>
      <c r="E22" s="124">
        <f>+E23+E24</f>
        <v>1299428859</v>
      </c>
      <c r="F22" s="124">
        <f t="shared" si="0"/>
        <v>7289514902</v>
      </c>
      <c r="G22" s="124">
        <f>+aoe_2018!G24</f>
        <v>18511618300</v>
      </c>
      <c r="H22" s="124">
        <f>+aoe_2018!H24</f>
        <v>3841413658</v>
      </c>
      <c r="I22" s="124">
        <f>+aoe_2018!I24</f>
        <v>918632874.1218585</v>
      </c>
      <c r="J22" s="124">
        <f>+aoe_2017!G24</f>
        <v>17571034872</v>
      </c>
      <c r="K22" s="124">
        <f>+aoe_2017!H24</f>
        <v>3715539021</v>
      </c>
      <c r="L22" s="124">
        <f>+aoe_2017!I24</f>
        <v>933255852.7727116</v>
      </c>
      <c r="M22" s="125">
        <f t="shared" si="1"/>
        <v>45491494577.89457</v>
      </c>
      <c r="N22" s="125">
        <f t="shared" si="2"/>
        <v>22745747288.947285</v>
      </c>
      <c r="O22" s="188">
        <v>3.1203375800365825</v>
      </c>
      <c r="P22" s="292"/>
      <c r="Q22" s="105"/>
      <c r="R22" s="104"/>
      <c r="S22" s="299">
        <f t="shared" si="3"/>
        <v>22745747288.947285</v>
      </c>
      <c r="T22" s="58"/>
      <c r="U22" s="57"/>
      <c r="V22" s="57"/>
      <c r="W22" s="57"/>
      <c r="X22" s="55"/>
      <c r="Y22" s="55"/>
      <c r="Z22" s="55"/>
      <c r="AB22" s="223" t="s">
        <v>163</v>
      </c>
    </row>
    <row r="23" spans="1:28" ht="15" customHeight="1">
      <c r="A23" s="148" t="s">
        <v>137</v>
      </c>
      <c r="B23" s="149"/>
      <c r="C23" s="151" t="s">
        <v>168</v>
      </c>
      <c r="D23" s="233">
        <v>3802672646</v>
      </c>
      <c r="E23" s="233">
        <v>780175367</v>
      </c>
      <c r="F23" s="124">
        <f t="shared" si="0"/>
        <v>4582848013</v>
      </c>
      <c r="G23" s="124">
        <f>+aoe_2018!G25</f>
        <v>12302453546</v>
      </c>
      <c r="H23" s="124">
        <f>+aoe_2018!H25</f>
        <v>2515131254</v>
      </c>
      <c r="I23" s="124">
        <f>+aoe_2018!I25</f>
        <v>619423566.9115201</v>
      </c>
      <c r="J23" s="124">
        <f>+aoe_2017!G25</f>
        <v>11653841409</v>
      </c>
      <c r="K23" s="124">
        <f>+aoe_2017!H25</f>
        <v>2471009868</v>
      </c>
      <c r="L23" s="124">
        <f>+aoe_2017!I25</f>
        <v>648558114.2009898</v>
      </c>
      <c r="M23" s="125">
        <f t="shared" si="1"/>
        <v>30210417758.11251</v>
      </c>
      <c r="N23" s="125">
        <f t="shared" si="2"/>
        <v>15105208879.056255</v>
      </c>
      <c r="O23" s="188">
        <v>3.6948088609538146</v>
      </c>
      <c r="P23" s="292" t="s">
        <v>181</v>
      </c>
      <c r="Q23" s="106"/>
      <c r="R23" s="107"/>
      <c r="S23" s="299">
        <f t="shared" si="3"/>
        <v>16932747446.836983</v>
      </c>
      <c r="T23" s="58"/>
      <c r="U23" s="57"/>
      <c r="V23" s="57"/>
      <c r="W23" s="57"/>
      <c r="X23" s="55"/>
      <c r="Y23" s="55"/>
      <c r="Z23" s="55"/>
      <c r="AB23" s="223" t="s">
        <v>163</v>
      </c>
    </row>
    <row r="24" spans="1:28" ht="15" customHeight="1">
      <c r="A24" s="148" t="s">
        <v>160</v>
      </c>
      <c r="B24" s="149"/>
      <c r="C24" s="151" t="s">
        <v>169</v>
      </c>
      <c r="D24" s="233">
        <v>2187413397</v>
      </c>
      <c r="E24" s="233">
        <v>519253492</v>
      </c>
      <c r="F24" s="124">
        <f t="shared" si="0"/>
        <v>2706666889</v>
      </c>
      <c r="G24" s="124">
        <f>+aoe_2018!G26</f>
        <v>6209164754</v>
      </c>
      <c r="H24" s="124">
        <f>+aoe_2018!H26</f>
        <v>1326282404</v>
      </c>
      <c r="I24" s="124">
        <f>+aoe_2018!I26</f>
        <v>297573018.5353071</v>
      </c>
      <c r="J24" s="124">
        <f>+aoe_2017!G26</f>
        <v>5917193463</v>
      </c>
      <c r="K24" s="124">
        <f>+aoe_2017!H26</f>
        <v>1244529153</v>
      </c>
      <c r="L24" s="124">
        <f>+aoe_2017!I26</f>
        <v>281143084.12338394</v>
      </c>
      <c r="M24" s="125">
        <f t="shared" si="1"/>
        <v>15275885876.658691</v>
      </c>
      <c r="N24" s="125">
        <f t="shared" si="2"/>
        <v>7637942938.329346</v>
      </c>
      <c r="O24" s="188">
        <v>2.8616814728760755</v>
      </c>
      <c r="P24" s="292" t="s">
        <v>181</v>
      </c>
      <c r="Q24" s="106"/>
      <c r="R24" s="107"/>
      <c r="S24" s="299">
        <f t="shared" si="3"/>
        <v>7745618489.4984255</v>
      </c>
      <c r="T24" s="58"/>
      <c r="U24" s="57"/>
      <c r="V24" s="57"/>
      <c r="W24" s="57"/>
      <c r="X24" s="55"/>
      <c r="Y24" s="55"/>
      <c r="Z24" s="55"/>
      <c r="AB24" s="223" t="s">
        <v>163</v>
      </c>
    </row>
    <row r="25" spans="1:28" ht="15" customHeight="1">
      <c r="A25" s="148" t="s">
        <v>90</v>
      </c>
      <c r="B25" s="149"/>
      <c r="C25" s="150" t="s">
        <v>53</v>
      </c>
      <c r="D25" s="233">
        <v>471126853</v>
      </c>
      <c r="E25" s="233">
        <v>201610022</v>
      </c>
      <c r="F25" s="124">
        <f t="shared" si="0"/>
        <v>672736875</v>
      </c>
      <c r="G25" s="124">
        <f>+aoe_2018!G27</f>
        <v>1615514831</v>
      </c>
      <c r="H25" s="124">
        <f>+aoe_2018!H27</f>
        <v>728151965</v>
      </c>
      <c r="I25" s="124">
        <f>+aoe_2018!I27</f>
        <v>130887683.03534609</v>
      </c>
      <c r="J25" s="124">
        <f>+aoe_2017!G27</f>
        <v>1421278193</v>
      </c>
      <c r="K25" s="124">
        <f>+aoe_2017!H27</f>
        <v>718050378</v>
      </c>
      <c r="L25" s="124">
        <f>+aoe_2017!I27</f>
        <v>116546044.2488523</v>
      </c>
      <c r="M25" s="125">
        <f t="shared" si="1"/>
        <v>4730429094.284199</v>
      </c>
      <c r="N25" s="125">
        <f t="shared" si="2"/>
        <v>2365214547.1420994</v>
      </c>
      <c r="O25" s="188">
        <v>5.024443276780424</v>
      </c>
      <c r="P25" s="292" t="s">
        <v>181</v>
      </c>
      <c r="Q25" s="105">
        <f>SUM(Q26:Q27)</f>
        <v>1296612</v>
      </c>
      <c r="R25" s="104"/>
      <c r="S25" s="299">
        <f t="shared" si="3"/>
        <v>3380128268.6360226</v>
      </c>
      <c r="T25" s="58"/>
      <c r="U25" s="57"/>
      <c r="V25" s="57"/>
      <c r="W25" s="57"/>
      <c r="X25" s="55"/>
      <c r="Y25" s="55"/>
      <c r="Z25" s="55"/>
      <c r="AB25" s="223" t="s">
        <v>163</v>
      </c>
    </row>
    <row r="26" spans="1:28" ht="15" customHeight="1">
      <c r="A26" s="148" t="s">
        <v>138</v>
      </c>
      <c r="B26" s="149"/>
      <c r="C26" s="151" t="s">
        <v>170</v>
      </c>
      <c r="D26" s="124">
        <f>+$R$26*D25</f>
        <v>385093403.61592746</v>
      </c>
      <c r="E26" s="124">
        <f>+$R$26*E25</f>
        <v>164793598.75303483</v>
      </c>
      <c r="F26" s="124">
        <f t="shared" si="0"/>
        <v>549887002.3689623</v>
      </c>
      <c r="G26" s="124">
        <f>+aoe_2018!G28</f>
        <v>1451378398.465161</v>
      </c>
      <c r="H26" s="124">
        <f>+aoe_2018!H28</f>
        <v>654171668.6975806</v>
      </c>
      <c r="I26" s="124">
        <f>+aoe_2018!I28</f>
        <v>117589484.25441983</v>
      </c>
      <c r="J26" s="124">
        <f>+aoe_2017!G28</f>
        <v>1284955384.5076554</v>
      </c>
      <c r="K26" s="124">
        <f>+aoe_2017!H28</f>
        <v>649178115.9403585</v>
      </c>
      <c r="L26" s="124">
        <f>+aoe_2017!I28</f>
        <v>105367455.74385256</v>
      </c>
      <c r="M26" s="125">
        <f t="shared" si="1"/>
        <v>4262640507.6090283</v>
      </c>
      <c r="N26" s="125">
        <f t="shared" si="2"/>
        <v>2131320253.8045142</v>
      </c>
      <c r="O26" s="188">
        <v>5.260662593370996</v>
      </c>
      <c r="P26" s="292" t="s">
        <v>181</v>
      </c>
      <c r="Q26" s="234">
        <v>1059835</v>
      </c>
      <c r="R26" s="107">
        <f>+Q26/Q25</f>
        <v>0.8173879310078882</v>
      </c>
      <c r="S26" s="299">
        <f t="shared" si="3"/>
        <v>2892769983.943308</v>
      </c>
      <c r="T26" s="58"/>
      <c r="U26" s="57"/>
      <c r="V26" s="57"/>
      <c r="W26" s="57"/>
      <c r="X26" s="55"/>
      <c r="Y26" s="55"/>
      <c r="Z26" s="55"/>
      <c r="AB26" s="223" t="s">
        <v>163</v>
      </c>
    </row>
    <row r="27" spans="1:28" ht="15" customHeight="1">
      <c r="A27" s="148" t="s">
        <v>139</v>
      </c>
      <c r="B27" s="149"/>
      <c r="C27" s="151" t="s">
        <v>171</v>
      </c>
      <c r="D27" s="124">
        <f>+$R$27*D25</f>
        <v>86033449.38407248</v>
      </c>
      <c r="E27" s="124">
        <f>+$R$27*E25</f>
        <v>36816423.24696517</v>
      </c>
      <c r="F27" s="124">
        <f t="shared" si="0"/>
        <v>122849872.63103765</v>
      </c>
      <c r="G27" s="124">
        <f>+aoe_2018!G29</f>
        <v>164136432.534839</v>
      </c>
      <c r="H27" s="124">
        <f>+aoe_2018!H29</f>
        <v>73980296.30241936</v>
      </c>
      <c r="I27" s="124">
        <f>+aoe_2018!I29</f>
        <v>13298198.780926246</v>
      </c>
      <c r="J27" s="124">
        <f>+aoe_2017!G29</f>
        <v>136322808.49234465</v>
      </c>
      <c r="K27" s="124">
        <f>+aoe_2017!H29</f>
        <v>68872262.05964147</v>
      </c>
      <c r="L27" s="124">
        <f>+aoe_2017!I29</f>
        <v>11178588.50499975</v>
      </c>
      <c r="M27" s="125">
        <f t="shared" si="1"/>
        <v>467788586.67517054</v>
      </c>
      <c r="N27" s="125">
        <f t="shared" si="2"/>
        <v>233894293.33758527</v>
      </c>
      <c r="O27" s="188">
        <v>3.6268277895564056</v>
      </c>
      <c r="P27" s="292" t="s">
        <v>181</v>
      </c>
      <c r="Q27" s="234">
        <v>236777</v>
      </c>
      <c r="R27" s="107">
        <f>+Q27/Q25</f>
        <v>0.18261206899211174</v>
      </c>
      <c r="S27" s="299">
        <f t="shared" si="3"/>
        <v>445555332.00171226</v>
      </c>
      <c r="T27" s="58"/>
      <c r="U27" s="57"/>
      <c r="V27" s="57"/>
      <c r="W27" s="57"/>
      <c r="X27" s="55"/>
      <c r="Y27" s="55"/>
      <c r="Z27" s="55"/>
      <c r="AB27" s="223" t="s">
        <v>163</v>
      </c>
    </row>
    <row r="28" spans="1:28" ht="15" customHeight="1">
      <c r="A28" s="148" t="s">
        <v>178</v>
      </c>
      <c r="B28" s="149"/>
      <c r="C28" s="151" t="s">
        <v>155</v>
      </c>
      <c r="D28" s="124">
        <f>+D29+D32</f>
        <v>19155617912</v>
      </c>
      <c r="E28" s="124">
        <f>+E29+E32</f>
        <v>786529804</v>
      </c>
      <c r="F28" s="124">
        <f t="shared" si="0"/>
        <v>19942147716</v>
      </c>
      <c r="G28" s="124">
        <f>+aoe_2018!G30</f>
        <v>12251150478</v>
      </c>
      <c r="H28" s="124">
        <f>+aoe_2018!H30</f>
        <v>1455693650</v>
      </c>
      <c r="I28" s="124">
        <f>+aoe_2018!I30</f>
        <v>1537551415.2170405</v>
      </c>
      <c r="J28" s="124">
        <f>+aoe_2017!G30</f>
        <v>11095571040</v>
      </c>
      <c r="K28" s="124">
        <f>+aoe_2017!H30</f>
        <v>1297868899</v>
      </c>
      <c r="L28" s="124">
        <f>+aoe_2017!I30</f>
        <v>1481743156.1520195</v>
      </c>
      <c r="M28" s="125">
        <f>SUM(G28:L28)</f>
        <v>29119578638.36906</v>
      </c>
      <c r="N28" s="125">
        <f t="shared" si="2"/>
        <v>14559789319.18453</v>
      </c>
      <c r="O28" s="188">
        <v>0.681570599407993</v>
      </c>
      <c r="P28" s="292"/>
      <c r="Q28" s="106"/>
      <c r="R28" s="107"/>
      <c r="S28" s="299">
        <f t="shared" si="3"/>
        <v>13591981572.27686</v>
      </c>
      <c r="T28" s="58"/>
      <c r="U28" s="57"/>
      <c r="V28" s="57"/>
      <c r="W28" s="57"/>
      <c r="X28" s="55"/>
      <c r="Y28" s="55"/>
      <c r="Z28" s="55"/>
      <c r="AB28" s="223" t="s">
        <v>163</v>
      </c>
    </row>
    <row r="29" spans="1:28" ht="15" customHeight="1">
      <c r="A29" s="148" t="s">
        <v>91</v>
      </c>
      <c r="B29" s="149"/>
      <c r="C29" s="150" t="s">
        <v>54</v>
      </c>
      <c r="D29" s="233">
        <v>11405928853</v>
      </c>
      <c r="E29" s="233">
        <v>754033826</v>
      </c>
      <c r="F29" s="124">
        <f t="shared" si="0"/>
        <v>12159962679</v>
      </c>
      <c r="G29" s="124">
        <f>+aoe_2018!G31</f>
        <v>11898239060</v>
      </c>
      <c r="H29" s="124">
        <f>+aoe_2018!H31</f>
        <v>1421642807</v>
      </c>
      <c r="I29" s="124">
        <f>+aoe_2018!I31</f>
        <v>1254583157.803967</v>
      </c>
      <c r="J29" s="124">
        <f>+aoe_2017!G31</f>
        <v>10762451444</v>
      </c>
      <c r="K29" s="124">
        <f>+aoe_2017!H31</f>
        <v>1260157917</v>
      </c>
      <c r="L29" s="124">
        <f>+aoe_2017!I31</f>
        <v>1211542621.568299</v>
      </c>
      <c r="M29" s="125">
        <f t="shared" si="1"/>
        <v>27808617007.372265</v>
      </c>
      <c r="N29" s="125">
        <f t="shared" si="2"/>
        <v>13904308503.686132</v>
      </c>
      <c r="O29" s="188">
        <v>1.0680252134170038</v>
      </c>
      <c r="P29" s="292"/>
      <c r="Q29" s="104"/>
      <c r="R29" s="104"/>
      <c r="S29" s="299">
        <f t="shared" si="3"/>
        <v>12987146735.381777</v>
      </c>
      <c r="T29" s="58"/>
      <c r="U29" s="57"/>
      <c r="V29" s="57"/>
      <c r="W29" s="57"/>
      <c r="X29" s="55"/>
      <c r="Y29" s="55"/>
      <c r="Z29" s="55"/>
      <c r="AB29" s="223" t="s">
        <v>163</v>
      </c>
    </row>
    <row r="30" spans="1:28" ht="15" customHeight="1">
      <c r="A30" s="148" t="s">
        <v>179</v>
      </c>
      <c r="B30" s="149"/>
      <c r="C30" s="150" t="s">
        <v>156</v>
      </c>
      <c r="D30" s="124">
        <f>+D31+D33</f>
        <v>2985143403</v>
      </c>
      <c r="E30" s="124">
        <f>+E31+E33</f>
        <v>294795903</v>
      </c>
      <c r="F30" s="124">
        <f>D30+E30</f>
        <v>3279939306</v>
      </c>
      <c r="G30" s="124">
        <f>+aoe_2018!G32</f>
        <v>4392350126</v>
      </c>
      <c r="H30" s="124">
        <f>+aoe_2018!H32</f>
        <v>544042858</v>
      </c>
      <c r="I30" s="124">
        <f>+aoe_2018!I32</f>
        <v>223915614.76581195</v>
      </c>
      <c r="J30" s="124">
        <f>+aoe_2017!G32</f>
        <v>3965838350</v>
      </c>
      <c r="K30" s="124">
        <f>+aoe_2017!H32</f>
        <v>508433557</v>
      </c>
      <c r="L30" s="124">
        <f>+aoe_2017!I32</f>
        <v>206079132.6532823</v>
      </c>
      <c r="M30" s="125">
        <f>SUM(G30:L30)</f>
        <v>9840659638.419094</v>
      </c>
      <c r="N30" s="125">
        <f>+M30/2</f>
        <v>4920329819.209547</v>
      </c>
      <c r="O30" s="188">
        <v>1.4040641763884978</v>
      </c>
      <c r="P30" s="292"/>
      <c r="Q30" s="104"/>
      <c r="R30" s="104"/>
      <c r="S30" s="299">
        <f t="shared" si="3"/>
        <v>4605245280.283151</v>
      </c>
      <c r="T30" s="58"/>
      <c r="U30" s="57"/>
      <c r="V30" s="57"/>
      <c r="W30" s="57"/>
      <c r="X30" s="55"/>
      <c r="Y30" s="55"/>
      <c r="Z30" s="55"/>
      <c r="AB30" s="223" t="s">
        <v>163</v>
      </c>
    </row>
    <row r="31" spans="1:28" ht="15" customHeight="1">
      <c r="A31" s="148" t="s">
        <v>92</v>
      </c>
      <c r="B31" s="149"/>
      <c r="C31" s="150" t="s">
        <v>55</v>
      </c>
      <c r="D31" s="233">
        <v>2450265728</v>
      </c>
      <c r="E31" s="233">
        <v>282774330</v>
      </c>
      <c r="F31" s="124">
        <f t="shared" si="0"/>
        <v>2733040058</v>
      </c>
      <c r="G31" s="124">
        <f>+aoe_2018!G33</f>
        <v>4254037413</v>
      </c>
      <c r="H31" s="124">
        <f>+aoe_2018!H33</f>
        <v>527347615</v>
      </c>
      <c r="I31" s="124">
        <f>+aoe_2018!I33</f>
        <v>201750325.7053837</v>
      </c>
      <c r="J31" s="124">
        <f>+aoe_2017!G33</f>
        <v>3842347572</v>
      </c>
      <c r="K31" s="124">
        <f>+aoe_2017!H33</f>
        <v>491266328</v>
      </c>
      <c r="L31" s="124">
        <f>+aoe_2017!I33</f>
        <v>187854476.36715975</v>
      </c>
      <c r="M31" s="125">
        <f t="shared" si="1"/>
        <v>9504603730.072542</v>
      </c>
      <c r="N31" s="125">
        <f t="shared" si="2"/>
        <v>4752301865.036271</v>
      </c>
      <c r="O31" s="188">
        <v>1.6422829720695162</v>
      </c>
      <c r="P31" s="292"/>
      <c r="Q31" s="104"/>
      <c r="R31" s="104"/>
      <c r="S31" s="299">
        <f t="shared" si="3"/>
        <v>4488425149.237283</v>
      </c>
      <c r="T31" s="58"/>
      <c r="U31" s="57"/>
      <c r="V31" s="57"/>
      <c r="W31" s="57"/>
      <c r="X31" s="55"/>
      <c r="Y31" s="55"/>
      <c r="Z31" s="55"/>
      <c r="AB31" s="223" t="s">
        <v>163</v>
      </c>
    </row>
    <row r="32" spans="1:28" ht="15" customHeight="1">
      <c r="A32" s="148" t="s">
        <v>93</v>
      </c>
      <c r="B32" s="149"/>
      <c r="C32" s="150" t="s">
        <v>56</v>
      </c>
      <c r="D32" s="233">
        <v>7749689059</v>
      </c>
      <c r="E32" s="233">
        <v>32495978</v>
      </c>
      <c r="F32" s="124">
        <f t="shared" si="0"/>
        <v>7782185037</v>
      </c>
      <c r="G32" s="124">
        <f>+aoe_2018!G34</f>
        <v>352911418</v>
      </c>
      <c r="H32" s="124">
        <f>+aoe_2018!H34</f>
        <v>34050843</v>
      </c>
      <c r="I32" s="124">
        <f>+aoe_2018!I34</f>
        <v>207594308.22222105</v>
      </c>
      <c r="J32" s="124">
        <f>+aoe_2017!G34</f>
        <v>333119596</v>
      </c>
      <c r="K32" s="124">
        <f>+aoe_2017!H34</f>
        <v>37710982</v>
      </c>
      <c r="L32" s="124">
        <f>+aoe_2017!I34</f>
        <v>194002542.14099884</v>
      </c>
      <c r="M32" s="125">
        <f t="shared" si="1"/>
        <v>1159389689.3632197</v>
      </c>
      <c r="N32" s="125">
        <f t="shared" si="2"/>
        <v>579694844.6816099</v>
      </c>
      <c r="O32" s="188">
        <v>0.07078858682881574</v>
      </c>
      <c r="P32" s="292"/>
      <c r="Q32" s="104"/>
      <c r="R32" s="104"/>
      <c r="S32" s="299">
        <f t="shared" si="3"/>
        <v>550889881.2095851</v>
      </c>
      <c r="T32" s="58"/>
      <c r="U32" s="57"/>
      <c r="V32" s="57"/>
      <c r="W32" s="57"/>
      <c r="X32" s="55"/>
      <c r="Y32" s="55"/>
      <c r="Z32" s="55"/>
      <c r="AB32" s="223" t="s">
        <v>163</v>
      </c>
    </row>
    <row r="33" spans="1:28" ht="15" customHeight="1">
      <c r="A33" s="148" t="s">
        <v>94</v>
      </c>
      <c r="B33" s="149"/>
      <c r="C33" s="150" t="s">
        <v>57</v>
      </c>
      <c r="D33" s="233">
        <v>534877675</v>
      </c>
      <c r="E33" s="233">
        <v>12021573</v>
      </c>
      <c r="F33" s="124">
        <f t="shared" si="0"/>
        <v>546899248</v>
      </c>
      <c r="G33" s="124">
        <f>+aoe_2018!G35</f>
        <v>138312713</v>
      </c>
      <c r="H33" s="124">
        <f>+aoe_2018!H35</f>
        <v>16695243</v>
      </c>
      <c r="I33" s="124">
        <f>+aoe_2018!I35</f>
        <v>21431518.573731057</v>
      </c>
      <c r="J33" s="124">
        <f>+aoe_2017!G35</f>
        <v>123490778</v>
      </c>
      <c r="K33" s="124">
        <f>+aoe_2017!H35</f>
        <v>17167229</v>
      </c>
      <c r="L33" s="124">
        <f>+aoe_2017!I35</f>
        <v>17539336.33913095</v>
      </c>
      <c r="M33" s="125">
        <f t="shared" si="1"/>
        <v>334636817.912862</v>
      </c>
      <c r="N33" s="125">
        <f t="shared" si="2"/>
        <v>167318408.956431</v>
      </c>
      <c r="O33" s="188">
        <v>0.27477699590002047</v>
      </c>
      <c r="P33" s="292" t="s">
        <v>181</v>
      </c>
      <c r="Q33" s="104"/>
      <c r="R33" s="104"/>
      <c r="S33" s="299">
        <f t="shared" si="3"/>
        <v>150275332.42542028</v>
      </c>
      <c r="T33" s="58"/>
      <c r="U33" s="57"/>
      <c r="V33" s="57"/>
      <c r="W33" s="57"/>
      <c r="X33" s="55"/>
      <c r="Y33" s="55"/>
      <c r="Z33" s="55"/>
      <c r="AB33" s="223" t="s">
        <v>163</v>
      </c>
    </row>
    <row r="34" spans="1:28" ht="15" customHeight="1">
      <c r="A34" s="148" t="s">
        <v>95</v>
      </c>
      <c r="B34" s="149"/>
      <c r="C34" s="150" t="s">
        <v>58</v>
      </c>
      <c r="D34" s="233">
        <v>101655899</v>
      </c>
      <c r="E34" s="233">
        <v>23004912</v>
      </c>
      <c r="F34" s="124">
        <f t="shared" si="0"/>
        <v>124660811</v>
      </c>
      <c r="G34" s="124">
        <f>+aoe_2018!G36</f>
        <v>176783969</v>
      </c>
      <c r="H34" s="124">
        <f>+aoe_2018!H36</f>
        <v>29379905</v>
      </c>
      <c r="I34" s="124">
        <f>+aoe_2018!I36</f>
        <v>9291406.253388874</v>
      </c>
      <c r="J34" s="124">
        <f>+aoe_2017!G36</f>
        <v>151428409</v>
      </c>
      <c r="K34" s="124">
        <f>+aoe_2017!H36</f>
        <v>23925616</v>
      </c>
      <c r="L34" s="124">
        <f>+aoe_2017!I36</f>
        <v>4901732.408133158</v>
      </c>
      <c r="M34" s="125">
        <f t="shared" si="1"/>
        <v>395711037.66152203</v>
      </c>
      <c r="N34" s="125">
        <f t="shared" si="2"/>
        <v>197855518.83076102</v>
      </c>
      <c r="O34" s="188">
        <v>1.9293803020787257</v>
      </c>
      <c r="P34" s="292" t="s">
        <v>181</v>
      </c>
      <c r="Q34" s="104"/>
      <c r="R34" s="104"/>
      <c r="S34" s="299">
        <f t="shared" si="3"/>
        <v>240518113.18455893</v>
      </c>
      <c r="T34" s="58"/>
      <c r="U34" s="57"/>
      <c r="V34" s="57"/>
      <c r="W34" s="57"/>
      <c r="X34" s="55"/>
      <c r="Y34" s="55"/>
      <c r="Z34" s="55"/>
      <c r="AB34" s="223" t="s">
        <v>163</v>
      </c>
    </row>
    <row r="35" spans="1:28" ht="15" customHeight="1">
      <c r="A35" s="148" t="s">
        <v>96</v>
      </c>
      <c r="B35" s="149"/>
      <c r="C35" s="150" t="s">
        <v>59</v>
      </c>
      <c r="D35" s="233">
        <v>39082145</v>
      </c>
      <c r="E35" s="233">
        <v>462865</v>
      </c>
      <c r="F35" s="124">
        <f t="shared" si="0"/>
        <v>39545010</v>
      </c>
      <c r="G35" s="124">
        <f>+aoe_2018!G37</f>
        <v>99802645</v>
      </c>
      <c r="H35" s="124">
        <f>+aoe_2018!H37</f>
        <v>15095832</v>
      </c>
      <c r="I35" s="124">
        <f>+aoe_2018!I37</f>
        <v>7348029.512914519</v>
      </c>
      <c r="J35" s="124">
        <f>+aoe_2017!G37</f>
        <v>107143015</v>
      </c>
      <c r="K35" s="124">
        <f>+aoe_2017!H37</f>
        <v>15193896</v>
      </c>
      <c r="L35" s="124">
        <f>+aoe_2017!I37</f>
        <v>6281178.337803331</v>
      </c>
      <c r="M35" s="125">
        <f t="shared" si="1"/>
        <v>250864595.85071787</v>
      </c>
      <c r="N35" s="125">
        <f t="shared" si="2"/>
        <v>125432297.92535894</v>
      </c>
      <c r="O35" s="188">
        <v>2.4596639897362227</v>
      </c>
      <c r="P35" s="292" t="s">
        <v>181</v>
      </c>
      <c r="Q35" s="104"/>
      <c r="R35" s="104"/>
      <c r="S35" s="299">
        <f t="shared" si="3"/>
        <v>97267437.07075882</v>
      </c>
      <c r="T35" s="58"/>
      <c r="U35" s="57"/>
      <c r="V35" s="57"/>
      <c r="W35" s="57"/>
      <c r="X35" s="55"/>
      <c r="Y35" s="55"/>
      <c r="Z35" s="55"/>
      <c r="AB35" s="223" t="s">
        <v>163</v>
      </c>
    </row>
    <row r="36" spans="1:28" ht="15" customHeight="1">
      <c r="A36" s="148" t="s">
        <v>97</v>
      </c>
      <c r="B36" s="149"/>
      <c r="C36" s="150" t="s">
        <v>60</v>
      </c>
      <c r="D36" s="233">
        <v>62997061</v>
      </c>
      <c r="E36" s="233">
        <v>20566498</v>
      </c>
      <c r="F36" s="124">
        <f t="shared" si="0"/>
        <v>83563559</v>
      </c>
      <c r="G36" s="124">
        <f>+aoe_2018!G38</f>
        <v>310839179</v>
      </c>
      <c r="H36" s="124">
        <f>+aoe_2018!H38</f>
        <v>64837675</v>
      </c>
      <c r="I36" s="124">
        <f>+aoe_2018!I38</f>
        <v>29950652.54095517</v>
      </c>
      <c r="J36" s="124">
        <f>+aoe_2017!G38</f>
        <v>317568317</v>
      </c>
      <c r="K36" s="124">
        <f>+aoe_2017!H38</f>
        <v>63763038</v>
      </c>
      <c r="L36" s="124">
        <f>+aoe_2017!I38</f>
        <v>27489341.62740821</v>
      </c>
      <c r="M36" s="125">
        <f t="shared" si="1"/>
        <v>814448203.1683635</v>
      </c>
      <c r="N36" s="125">
        <f t="shared" si="2"/>
        <v>407224101.5841817</v>
      </c>
      <c r="O36" s="188">
        <v>4.457099229939438</v>
      </c>
      <c r="P36" s="292" t="s">
        <v>201</v>
      </c>
      <c r="Q36" s="104"/>
      <c r="R36" s="104"/>
      <c r="S36" s="299">
        <f t="shared" si="3"/>
        <v>372451074.46989876</v>
      </c>
      <c r="T36" s="58"/>
      <c r="U36" s="57"/>
      <c r="V36" s="57"/>
      <c r="W36" s="57"/>
      <c r="X36" s="55"/>
      <c r="Y36" s="55"/>
      <c r="Z36" s="55"/>
      <c r="AB36" s="223" t="s">
        <v>163</v>
      </c>
    </row>
    <row r="37" spans="1:28" ht="15" customHeight="1">
      <c r="A37" s="148" t="s">
        <v>98</v>
      </c>
      <c r="B37" s="149"/>
      <c r="C37" s="150" t="s">
        <v>165</v>
      </c>
      <c r="D37" s="233">
        <v>8269204</v>
      </c>
      <c r="E37" s="233">
        <v>797391</v>
      </c>
      <c r="F37" s="124">
        <f t="shared" si="0"/>
        <v>9066595</v>
      </c>
      <c r="G37" s="124">
        <f>+aoe_2018!G39</f>
        <v>19326605</v>
      </c>
      <c r="H37" s="124">
        <f>+aoe_2018!H39</f>
        <v>2994206</v>
      </c>
      <c r="I37" s="124">
        <f>+aoe_2018!I39</f>
        <v>2039907.4583407403</v>
      </c>
      <c r="J37" s="124">
        <f>+aoe_2017!G39</f>
        <v>18956955</v>
      </c>
      <c r="K37" s="124">
        <f>+aoe_2017!H39</f>
        <v>2527211</v>
      </c>
      <c r="L37" s="124">
        <f>+aoe_2017!I39</f>
        <v>1575965.188740663</v>
      </c>
      <c r="M37" s="125">
        <f t="shared" si="1"/>
        <v>47420849.647081405</v>
      </c>
      <c r="N37" s="125">
        <f t="shared" si="2"/>
        <v>23710424.823540702</v>
      </c>
      <c r="O37" s="312">
        <v>0.6185742705496694</v>
      </c>
      <c r="P37" s="292" t="s">
        <v>181</v>
      </c>
      <c r="Q37" s="104"/>
      <c r="R37" s="104"/>
      <c r="S37" s="299">
        <f t="shared" si="3"/>
        <v>5608362.38849428</v>
      </c>
      <c r="T37" s="58" t="str">
        <f>+C37</f>
        <v>BRGLRY THEFT **</v>
      </c>
      <c r="U37" s="59">
        <f>SUM(U8:U17)</f>
        <v>5053306186.747065</v>
      </c>
      <c r="V37" s="59">
        <f>SUM(V8:V17)</f>
        <v>3859167997</v>
      </c>
      <c r="W37" s="60">
        <f>0.5*(+U37/V37)</f>
        <v>0.6547144605618817</v>
      </c>
      <c r="X37" s="55"/>
      <c r="Y37" s="55"/>
      <c r="Z37" s="55"/>
      <c r="AB37" s="223" t="s">
        <v>163</v>
      </c>
    </row>
    <row r="38" spans="1:28" ht="15" customHeight="1">
      <c r="A38" s="148" t="s">
        <v>99</v>
      </c>
      <c r="B38" s="149"/>
      <c r="C38" s="150" t="s">
        <v>62</v>
      </c>
      <c r="D38" s="233">
        <v>23092437</v>
      </c>
      <c r="E38" s="233">
        <v>233121</v>
      </c>
      <c r="F38" s="124">
        <f t="shared" si="0"/>
        <v>23325558</v>
      </c>
      <c r="G38" s="124">
        <f>+aoe_2018!G40</f>
        <v>54679196</v>
      </c>
      <c r="H38" s="124">
        <f>+aoe_2018!H40</f>
        <v>2446120</v>
      </c>
      <c r="I38" s="124">
        <f>+aoe_2018!I40</f>
        <v>2683144.0154611315</v>
      </c>
      <c r="J38" s="124">
        <f>+aoe_2017!G40</f>
        <v>86081294</v>
      </c>
      <c r="K38" s="124">
        <f>+aoe_2017!H40</f>
        <v>3062632</v>
      </c>
      <c r="L38" s="124">
        <f>+aoe_2017!I40</f>
        <v>3478412.937265764</v>
      </c>
      <c r="M38" s="125">
        <f t="shared" si="1"/>
        <v>152430798.9527269</v>
      </c>
      <c r="N38" s="125">
        <f t="shared" si="2"/>
        <v>76215399.47636345</v>
      </c>
      <c r="O38" s="188">
        <v>1.2541489811246147</v>
      </c>
      <c r="P38" s="292" t="s">
        <v>202</v>
      </c>
      <c r="Q38" s="104"/>
      <c r="R38" s="104"/>
      <c r="S38" s="299">
        <f t="shared" si="3"/>
        <v>29253724.799863104</v>
      </c>
      <c r="T38" s="57"/>
      <c r="U38" s="57"/>
      <c r="V38" s="57"/>
      <c r="W38" s="57"/>
      <c r="X38" s="55"/>
      <c r="Y38" s="55"/>
      <c r="Z38" s="55"/>
      <c r="AB38" s="223" t="s">
        <v>163</v>
      </c>
    </row>
    <row r="39" spans="1:28" ht="15" customHeight="1">
      <c r="A39" s="148" t="s">
        <v>100</v>
      </c>
      <c r="B39" s="149"/>
      <c r="C39" s="150" t="s">
        <v>63</v>
      </c>
      <c r="D39" s="233">
        <v>77039776</v>
      </c>
      <c r="E39" s="233">
        <v>546220</v>
      </c>
      <c r="F39" s="124">
        <f t="shared" si="0"/>
        <v>77585996</v>
      </c>
      <c r="G39" s="124">
        <f>+aoe_2018!G41</f>
        <v>60894527</v>
      </c>
      <c r="H39" s="124">
        <f>+aoe_2018!H41</f>
        <v>2324013</v>
      </c>
      <c r="I39" s="124">
        <f>+aoe_2018!I41</f>
        <v>5357830.551339091</v>
      </c>
      <c r="J39" s="124">
        <f>+aoe_2017!G41</f>
        <v>50159599</v>
      </c>
      <c r="K39" s="124">
        <f>+aoe_2017!H41</f>
        <v>2748460</v>
      </c>
      <c r="L39" s="124">
        <f>+aoe_2017!I41</f>
        <v>5105454.186264503</v>
      </c>
      <c r="M39" s="125">
        <f t="shared" si="1"/>
        <v>126589883.73760359</v>
      </c>
      <c r="N39" s="125">
        <f t="shared" si="2"/>
        <v>63294941.868801795</v>
      </c>
      <c r="O39" s="188">
        <v>0.879908055183585</v>
      </c>
      <c r="P39" s="292" t="s">
        <v>181</v>
      </c>
      <c r="Q39" s="104"/>
      <c r="R39" s="104"/>
      <c r="S39" s="299">
        <f t="shared" si="3"/>
        <v>68268542.8498414</v>
      </c>
      <c r="T39" s="69"/>
      <c r="U39" s="69"/>
      <c r="V39" s="69"/>
      <c r="W39" s="69"/>
      <c r="X39" s="55"/>
      <c r="Y39" s="55"/>
      <c r="Z39" s="55"/>
      <c r="AB39" s="223" t="s">
        <v>163</v>
      </c>
    </row>
    <row r="40" spans="1:28" ht="15" customHeight="1">
      <c r="A40" s="148" t="s">
        <v>158</v>
      </c>
      <c r="B40" s="149"/>
      <c r="C40" s="150" t="s">
        <v>157</v>
      </c>
      <c r="D40" s="233">
        <v>110474570</v>
      </c>
      <c r="E40" s="233">
        <v>378584</v>
      </c>
      <c r="F40" s="124">
        <f t="shared" si="0"/>
        <v>110853154</v>
      </c>
      <c r="G40" s="124">
        <f>+aoe_2018!G42</f>
        <v>12642328</v>
      </c>
      <c r="H40" s="124">
        <f>+aoe_2018!H42</f>
        <v>90066</v>
      </c>
      <c r="I40" s="124">
        <f>+aoe_2018!I42</f>
        <v>213462.09392364603</v>
      </c>
      <c r="J40" s="124">
        <f>+aoe_2017!G42</f>
        <v>16868314</v>
      </c>
      <c r="K40" s="124">
        <f>+aoe_2017!H42</f>
        <v>62892</v>
      </c>
      <c r="L40" s="124">
        <f>+aoe_2017!I42</f>
        <v>389459.4062674323</v>
      </c>
      <c r="M40" s="125">
        <f t="shared" si="1"/>
        <v>30266521.500191078</v>
      </c>
      <c r="N40" s="125">
        <f t="shared" si="2"/>
        <v>15133260.750095539</v>
      </c>
      <c r="O40" s="188">
        <v>0.2386061757719676</v>
      </c>
      <c r="P40" s="292" t="s">
        <v>181</v>
      </c>
      <c r="Q40" s="104"/>
      <c r="R40" s="104"/>
      <c r="S40" s="299">
        <f t="shared" si="3"/>
        <v>26450247.148200992</v>
      </c>
      <c r="T40" s="69"/>
      <c r="U40" s="69"/>
      <c r="V40" s="69"/>
      <c r="W40" s="69"/>
      <c r="X40" s="55"/>
      <c r="Y40" s="55"/>
      <c r="Z40" s="55"/>
      <c r="AB40" s="223" t="s">
        <v>163</v>
      </c>
    </row>
    <row r="41" spans="1:28" ht="15" customHeight="1" thickBot="1">
      <c r="A41" s="152" t="s">
        <v>102</v>
      </c>
      <c r="B41" s="153"/>
      <c r="C41" s="154" t="s">
        <v>64</v>
      </c>
      <c r="D41" s="233">
        <v>41666651</v>
      </c>
      <c r="E41" s="233">
        <v>3177772</v>
      </c>
      <c r="F41" s="126">
        <f t="shared" si="0"/>
        <v>44844423</v>
      </c>
      <c r="G41" s="126">
        <f>+aoe_2018!G43</f>
        <v>69589930</v>
      </c>
      <c r="H41" s="126">
        <f>+aoe_2018!H43</f>
        <v>4682216</v>
      </c>
      <c r="I41" s="126">
        <f>+aoe_2018!I43</f>
        <v>-3304466.495318145</v>
      </c>
      <c r="J41" s="126">
        <f>+aoe_2017!G43</f>
        <v>62824358</v>
      </c>
      <c r="K41" s="126">
        <f>+aoe_2017!H43</f>
        <v>1719222</v>
      </c>
      <c r="L41" s="126">
        <f>+aoe_2017!I43</f>
        <v>-6507217.723217958</v>
      </c>
      <c r="M41" s="127">
        <f t="shared" si="1"/>
        <v>129004041.78146389</v>
      </c>
      <c r="N41" s="127">
        <f t="shared" si="2"/>
        <v>64502020.890731946</v>
      </c>
      <c r="O41" s="189">
        <v>2.031219292623075</v>
      </c>
      <c r="P41" s="294" t="s">
        <v>181</v>
      </c>
      <c r="Q41" s="104"/>
      <c r="R41" s="104"/>
      <c r="S41" s="299">
        <f t="shared" si="3"/>
        <v>91088857.16414997</v>
      </c>
      <c r="AB41" s="223" t="s">
        <v>163</v>
      </c>
    </row>
    <row r="42" spans="1:28" ht="7.5" customHeight="1" thickBot="1">
      <c r="A42" s="155"/>
      <c r="B42" s="155"/>
      <c r="C42" s="156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30"/>
      <c r="P42" s="120"/>
      <c r="Q42" s="104"/>
      <c r="R42" s="104"/>
      <c r="S42" s="299"/>
      <c r="AB42" s="223"/>
    </row>
    <row r="43" spans="1:28" s="198" customFormat="1" ht="21" customHeight="1" thickBot="1">
      <c r="A43" s="190"/>
      <c r="B43" s="191"/>
      <c r="C43" s="192" t="s">
        <v>65</v>
      </c>
      <c r="D43" s="131">
        <f>SUM(D8:D41)-D14-D18-D22-D25-D28-D30</f>
        <v>51063312280</v>
      </c>
      <c r="E43" s="131">
        <f>SUM(E8:E41)-E14-E18-E22-E25-E28-E30</f>
        <v>3632670513</v>
      </c>
      <c r="F43" s="131">
        <f t="shared" si="0"/>
        <v>54695982793</v>
      </c>
      <c r="G43" s="131">
        <f>+aoe_2018!G45</f>
        <v>57295934452</v>
      </c>
      <c r="H43" s="131">
        <f>+aoe_2018!H45</f>
        <v>8910958816</v>
      </c>
      <c r="I43" s="131">
        <f>+aoe_2018!I45</f>
        <v>4223585056.2970552</v>
      </c>
      <c r="J43" s="131">
        <f>+aoe_2017!G45</f>
        <v>52301930391</v>
      </c>
      <c r="K43" s="131">
        <f>+aoe_2017!H45</f>
        <v>8527538021</v>
      </c>
      <c r="L43" s="131">
        <f>+aoe_2017!I45</f>
        <v>3980595380.2004433</v>
      </c>
      <c r="M43" s="193">
        <f t="shared" si="1"/>
        <v>135240542116.4975</v>
      </c>
      <c r="N43" s="193">
        <f t="shared" si="2"/>
        <v>67620271058.24875</v>
      </c>
      <c r="O43" s="194">
        <v>1.2399704413494728</v>
      </c>
      <c r="P43" s="195"/>
      <c r="Q43" s="196"/>
      <c r="R43" s="197"/>
      <c r="S43" s="300">
        <f>SUM(S8:S41)-S14-S18-S22-S25-S28-S30</f>
        <v>66075326324.129585</v>
      </c>
      <c r="T43" s="198" t="s">
        <v>199</v>
      </c>
      <c r="AB43" s="223" t="s">
        <v>163</v>
      </c>
    </row>
    <row r="44" spans="1:19" ht="11.25" customHeight="1">
      <c r="A44" s="100"/>
      <c r="B44" s="100"/>
      <c r="C44" s="100"/>
      <c r="D44" s="108"/>
      <c r="E44" s="108"/>
      <c r="F44" s="108"/>
      <c r="G44" s="109"/>
      <c r="H44" s="109"/>
      <c r="I44" s="110"/>
      <c r="J44" s="109"/>
      <c r="K44" s="109"/>
      <c r="L44" s="111"/>
      <c r="M44" s="111"/>
      <c r="N44" s="111"/>
      <c r="O44" s="112"/>
      <c r="P44" s="112"/>
      <c r="Q44" s="100"/>
      <c r="R44" s="100"/>
      <c r="S44" s="13"/>
    </row>
    <row r="45" spans="1:19" ht="5.25" customHeight="1">
      <c r="A45" s="100"/>
      <c r="B45" s="100"/>
      <c r="C45" s="100"/>
      <c r="D45" s="108"/>
      <c r="E45" s="108"/>
      <c r="F45" s="108"/>
      <c r="G45" s="100"/>
      <c r="H45" s="100"/>
      <c r="I45" s="100"/>
      <c r="J45" s="113"/>
      <c r="K45" s="113"/>
      <c r="L45" s="113"/>
      <c r="M45" s="113"/>
      <c r="N45" s="113"/>
      <c r="O45" s="114"/>
      <c r="P45" s="114"/>
      <c r="Q45" s="100"/>
      <c r="R45" s="100"/>
      <c r="S45" s="301"/>
    </row>
    <row r="46" spans="1:19" ht="10.5" customHeight="1">
      <c r="A46" s="118" t="s">
        <v>161</v>
      </c>
      <c r="B46" s="118" t="s">
        <v>163</v>
      </c>
      <c r="C46" s="119" t="s">
        <v>162</v>
      </c>
      <c r="D46" s="115"/>
      <c r="E46" s="115"/>
      <c r="F46" s="115"/>
      <c r="G46" s="116"/>
      <c r="H46" s="116"/>
      <c r="I46" s="116"/>
      <c r="J46" s="117"/>
      <c r="K46" s="113"/>
      <c r="L46" s="113"/>
      <c r="M46" s="113"/>
      <c r="N46" s="113"/>
      <c r="O46" s="114"/>
      <c r="P46" s="114"/>
      <c r="Q46" s="100"/>
      <c r="R46" s="100"/>
      <c r="S46" s="300"/>
    </row>
    <row r="47" spans="1:19" ht="10.5" customHeight="1">
      <c r="A47" s="100"/>
      <c r="B47" s="118" t="s">
        <v>164</v>
      </c>
      <c r="C47" s="116" t="s">
        <v>180</v>
      </c>
      <c r="D47" s="115"/>
      <c r="E47" s="115"/>
      <c r="F47" s="115"/>
      <c r="G47" s="116"/>
      <c r="H47" s="116"/>
      <c r="I47" s="116"/>
      <c r="J47" s="117"/>
      <c r="K47" s="113"/>
      <c r="L47" s="113"/>
      <c r="M47" s="113"/>
      <c r="N47" s="113"/>
      <c r="O47" s="114"/>
      <c r="P47" s="114"/>
      <c r="Q47" s="100"/>
      <c r="R47" s="100"/>
      <c r="S47" s="301"/>
    </row>
    <row r="48" spans="2:14" ht="10.5" customHeight="1">
      <c r="B48" s="118" t="s">
        <v>181</v>
      </c>
      <c r="C48" s="461" t="s">
        <v>190</v>
      </c>
      <c r="D48" s="461"/>
      <c r="E48" s="461"/>
      <c r="F48" s="461"/>
      <c r="G48" s="461"/>
      <c r="H48" s="461"/>
      <c r="J48" s="14"/>
      <c r="K48" s="14"/>
      <c r="L48" s="14"/>
      <c r="M48" s="14"/>
      <c r="N48" s="14"/>
    </row>
    <row r="49" spans="2:14" ht="10.5" customHeight="1">
      <c r="B49" s="118" t="s">
        <v>202</v>
      </c>
      <c r="C49" s="462" t="s">
        <v>204</v>
      </c>
      <c r="D49" s="462"/>
      <c r="E49" s="462"/>
      <c r="F49" s="462"/>
      <c r="G49" s="462"/>
      <c r="H49" s="462"/>
      <c r="J49" s="14"/>
      <c r="K49" s="14"/>
      <c r="L49" s="14"/>
      <c r="M49" s="14"/>
      <c r="N49" s="14"/>
    </row>
    <row r="50" spans="2:14" ht="10.5" customHeight="1">
      <c r="B50" s="118" t="s">
        <v>201</v>
      </c>
      <c r="C50" s="462" t="s">
        <v>205</v>
      </c>
      <c r="D50" s="462"/>
      <c r="E50" s="462"/>
      <c r="F50" s="462"/>
      <c r="G50" s="462"/>
      <c r="H50" s="462"/>
      <c r="J50" s="14"/>
      <c r="K50" s="14"/>
      <c r="L50" s="14"/>
      <c r="M50" s="14"/>
      <c r="N50" s="14"/>
    </row>
    <row r="51" spans="2:14" ht="10.5" customHeight="1">
      <c r="B51" s="462" t="s">
        <v>193</v>
      </c>
      <c r="C51" s="462"/>
      <c r="D51" s="462"/>
      <c r="E51" s="462"/>
      <c r="F51" s="462"/>
      <c r="G51" s="462"/>
      <c r="J51" s="14"/>
      <c r="K51" s="14"/>
      <c r="L51" s="14"/>
      <c r="M51" s="14"/>
      <c r="N51" s="14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  <row r="68" spans="10:14" ht="14.25">
      <c r="J68" s="14"/>
      <c r="K68" s="14"/>
      <c r="L68" s="14"/>
      <c r="M68" s="14"/>
      <c r="N68" s="14"/>
    </row>
    <row r="69" spans="10:14" ht="14.25">
      <c r="J69" s="14"/>
      <c r="K69" s="14"/>
      <c r="L69" s="14"/>
      <c r="M69" s="14"/>
      <c r="N69" s="14"/>
    </row>
    <row r="70" spans="10:14" ht="14.25">
      <c r="J70" s="14"/>
      <c r="K70" s="14"/>
      <c r="L70" s="14"/>
      <c r="M70" s="14"/>
      <c r="N70" s="14"/>
    </row>
    <row r="71" spans="10:14" ht="14.25">
      <c r="J71" s="14"/>
      <c r="K71" s="14"/>
      <c r="L71" s="14"/>
      <c r="M71" s="14"/>
      <c r="N71" s="14"/>
    </row>
  </sheetData>
  <sheetProtection/>
  <mergeCells count="5">
    <mergeCell ref="A1:R1"/>
    <mergeCell ref="C48:H48"/>
    <mergeCell ref="B51:G51"/>
    <mergeCell ref="C49:H49"/>
    <mergeCell ref="C50:H50"/>
  </mergeCells>
  <printOptions horizontalCentered="1" verticalCentered="1"/>
  <pageMargins left="0" right="0" top="0.25" bottom="0.5" header="0.28" footer="0.35"/>
  <pageSetup fitToHeight="1" fitToWidth="1" horizontalDpi="600" verticalDpi="600" orientation="landscape" scale="76" r:id="rId1"/>
  <headerFooter alignWithMargins="0">
    <oddFooter>&amp;L&amp;8California Department of Insurance&amp;R&amp;8Rate Specialist Bureau  - 9/19/2019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6384" width="9.28125" style="70" customWidth="1"/>
  </cols>
  <sheetData>
    <row r="1" spans="1:11" ht="46.5" customHeight="1">
      <c r="A1" s="463" t="s">
        <v>194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5" customHeight="1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s="75" customFormat="1" ht="11.2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</row>
    <row r="5" spans="1:11" ht="12.75">
      <c r="A5" s="76"/>
      <c r="B5" s="77"/>
      <c r="C5" s="78"/>
      <c r="D5" s="79">
        <v>2018</v>
      </c>
      <c r="E5" s="79">
        <v>2018</v>
      </c>
      <c r="F5" s="79">
        <v>2018</v>
      </c>
      <c r="G5" s="79">
        <v>2018</v>
      </c>
      <c r="H5" s="79">
        <v>2018</v>
      </c>
      <c r="I5" s="79">
        <v>2018</v>
      </c>
      <c r="J5" s="79">
        <v>2018</v>
      </c>
      <c r="K5" s="80">
        <v>2018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1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24" t="s">
        <v>116</v>
      </c>
      <c r="J8" s="84" t="s">
        <v>108</v>
      </c>
      <c r="K8" s="85"/>
    </row>
    <row r="9" spans="1:11" ht="11.25" customHeight="1" thickBot="1">
      <c r="A9" s="77"/>
      <c r="B9" s="77"/>
      <c r="C9" s="87"/>
      <c r="D9" s="311"/>
      <c r="E9" s="311"/>
      <c r="F9" s="311"/>
      <c r="G9" s="311"/>
      <c r="H9" s="311"/>
      <c r="I9" s="311"/>
      <c r="J9" s="311"/>
      <c r="K9" s="311"/>
    </row>
    <row r="10" spans="1:11" ht="12.75" customHeight="1">
      <c r="A10" s="212" t="s">
        <v>76</v>
      </c>
      <c r="B10" s="213"/>
      <c r="C10" s="214" t="s">
        <v>41</v>
      </c>
      <c r="D10" s="295">
        <v>248874</v>
      </c>
      <c r="E10" s="225">
        <v>8053273</v>
      </c>
      <c r="F10" s="225">
        <v>299777</v>
      </c>
      <c r="G10" s="225">
        <v>1546265517</v>
      </c>
      <c r="H10" s="225">
        <v>39633795</v>
      </c>
      <c r="I10" s="225">
        <f aca="true" t="shared" si="0" ref="I10:I43">+D10*(G10+H10)/(E10+F10)</f>
        <v>47250897.02260707</v>
      </c>
      <c r="J10" s="226"/>
      <c r="K10" s="227"/>
    </row>
    <row r="11" spans="1:11" ht="12.75" customHeight="1">
      <c r="A11" s="215" t="s">
        <v>77</v>
      </c>
      <c r="B11" s="216"/>
      <c r="C11" s="217" t="s">
        <v>42</v>
      </c>
      <c r="D11" s="296">
        <v>338518</v>
      </c>
      <c r="E11" s="228">
        <v>13478162</v>
      </c>
      <c r="F11" s="228">
        <v>490710</v>
      </c>
      <c r="G11" s="228">
        <v>590601575</v>
      </c>
      <c r="H11" s="228">
        <v>22335830</v>
      </c>
      <c r="I11" s="228">
        <f t="shared" si="0"/>
        <v>14853765.176299848</v>
      </c>
      <c r="J11" s="210"/>
      <c r="K11" s="229"/>
    </row>
    <row r="12" spans="1:11" ht="12.75" customHeight="1">
      <c r="A12" s="215" t="s">
        <v>182</v>
      </c>
      <c r="B12" s="216"/>
      <c r="C12" s="217" t="s">
        <v>183</v>
      </c>
      <c r="D12" s="296">
        <v>6385</v>
      </c>
      <c r="E12" s="228">
        <v>230645</v>
      </c>
      <c r="F12" s="228">
        <v>407</v>
      </c>
      <c r="G12" s="228">
        <v>6413679</v>
      </c>
      <c r="H12" s="228">
        <v>255921</v>
      </c>
      <c r="I12" s="228">
        <f t="shared" si="0"/>
        <v>184310.87374270728</v>
      </c>
      <c r="J12" s="210"/>
      <c r="K12" s="229"/>
    </row>
    <row r="13" spans="1:11" ht="12.75" customHeight="1">
      <c r="A13" s="215" t="s">
        <v>184</v>
      </c>
      <c r="B13" s="216"/>
      <c r="C13" s="217" t="s">
        <v>185</v>
      </c>
      <c r="D13" s="296">
        <v>4901</v>
      </c>
      <c r="E13" s="228">
        <v>360761</v>
      </c>
      <c r="F13" s="228">
        <v>4197</v>
      </c>
      <c r="G13" s="228">
        <v>6238528</v>
      </c>
      <c r="H13" s="228">
        <v>150061</v>
      </c>
      <c r="I13" s="228">
        <f t="shared" si="0"/>
        <v>85791.99439113542</v>
      </c>
      <c r="J13" s="210"/>
      <c r="K13" s="229"/>
    </row>
    <row r="14" spans="1:11" ht="12.75" customHeight="1">
      <c r="A14" s="215" t="s">
        <v>78</v>
      </c>
      <c r="B14" s="216"/>
      <c r="C14" s="217" t="s">
        <v>43</v>
      </c>
      <c r="D14" s="296">
        <v>69022</v>
      </c>
      <c r="E14" s="228">
        <v>1160640</v>
      </c>
      <c r="F14" s="228">
        <v>116863</v>
      </c>
      <c r="G14" s="228">
        <v>193196513</v>
      </c>
      <c r="H14" s="228">
        <v>23473346</v>
      </c>
      <c r="I14" s="228">
        <f t="shared" si="0"/>
        <v>11706420.265078047</v>
      </c>
      <c r="J14" s="210"/>
      <c r="K14" s="229"/>
    </row>
    <row r="15" spans="1:11" ht="12.75" customHeight="1">
      <c r="A15" s="215" t="s">
        <v>79</v>
      </c>
      <c r="B15" s="216"/>
      <c r="C15" s="217" t="s">
        <v>44</v>
      </c>
      <c r="D15" s="296">
        <v>3701680</v>
      </c>
      <c r="E15" s="228">
        <v>32829779</v>
      </c>
      <c r="F15" s="228">
        <v>2582609</v>
      </c>
      <c r="G15" s="228">
        <v>10533275000</v>
      </c>
      <c r="H15" s="228">
        <v>479096983</v>
      </c>
      <c r="I15" s="228">
        <f t="shared" si="0"/>
        <v>1151130421.4229054</v>
      </c>
      <c r="J15" s="210"/>
      <c r="K15" s="229"/>
    </row>
    <row r="16" spans="1:11" ht="12.75" customHeight="1">
      <c r="A16" s="215" t="s">
        <v>142</v>
      </c>
      <c r="B16" s="216"/>
      <c r="C16" s="218" t="s">
        <v>141</v>
      </c>
      <c r="D16" s="202">
        <f>+D17+D18</f>
        <v>2351979</v>
      </c>
      <c r="E16" s="202">
        <f>+E17+E18</f>
        <v>37198376</v>
      </c>
      <c r="F16" s="202">
        <f>+F17+F18</f>
        <v>9493363</v>
      </c>
      <c r="G16" s="202">
        <f>+G17+G18</f>
        <v>4998494754</v>
      </c>
      <c r="H16" s="202">
        <f>+H17+H18</f>
        <v>1242717862</v>
      </c>
      <c r="I16" s="202">
        <f t="shared" si="0"/>
        <v>314385399.2537537</v>
      </c>
      <c r="J16" s="210"/>
      <c r="K16" s="229"/>
    </row>
    <row r="17" spans="1:11" ht="12.75" customHeight="1">
      <c r="A17" s="215" t="s">
        <v>80</v>
      </c>
      <c r="B17" s="216"/>
      <c r="C17" s="218" t="s">
        <v>45</v>
      </c>
      <c r="D17" s="296">
        <v>1025869</v>
      </c>
      <c r="E17" s="228">
        <v>12761888</v>
      </c>
      <c r="F17" s="228">
        <v>924769</v>
      </c>
      <c r="G17" s="228">
        <v>1932023171</v>
      </c>
      <c r="H17" s="228">
        <v>115802952</v>
      </c>
      <c r="I17" s="228">
        <f t="shared" si="0"/>
        <v>153492656.16694325</v>
      </c>
      <c r="J17" s="210"/>
      <c r="K17" s="229"/>
    </row>
    <row r="18" spans="1:11" ht="12.75" customHeight="1">
      <c r="A18" s="215" t="s">
        <v>81</v>
      </c>
      <c r="B18" s="216"/>
      <c r="C18" s="218" t="s">
        <v>46</v>
      </c>
      <c r="D18" s="296">
        <v>1326110</v>
      </c>
      <c r="E18" s="228">
        <v>24436488</v>
      </c>
      <c r="F18" s="228">
        <v>8568594</v>
      </c>
      <c r="G18" s="228">
        <v>3066471583</v>
      </c>
      <c r="H18" s="228">
        <v>1126914910</v>
      </c>
      <c r="I18" s="228">
        <f t="shared" si="0"/>
        <v>168485924.7503833</v>
      </c>
      <c r="J18" s="210"/>
      <c r="K18" s="229"/>
    </row>
    <row r="19" spans="1:11" ht="12.75" customHeight="1">
      <c r="A19" s="215" t="s">
        <v>85</v>
      </c>
      <c r="B19" s="216"/>
      <c r="C19" s="217" t="s">
        <v>48</v>
      </c>
      <c r="D19" s="296">
        <v>325372</v>
      </c>
      <c r="E19" s="228">
        <v>4886142</v>
      </c>
      <c r="F19" s="228">
        <v>211978</v>
      </c>
      <c r="G19" s="228">
        <v>578175264</v>
      </c>
      <c r="H19" s="228">
        <v>20947767</v>
      </c>
      <c r="I19" s="228">
        <f t="shared" si="0"/>
        <v>38237204.86032733</v>
      </c>
      <c r="J19" s="210"/>
      <c r="K19" s="229"/>
    </row>
    <row r="20" spans="1:11" ht="12.75" customHeight="1">
      <c r="A20" s="215" t="s">
        <v>87</v>
      </c>
      <c r="B20" s="216"/>
      <c r="C20" s="218" t="s">
        <v>159</v>
      </c>
      <c r="D20" s="296">
        <v>1320487</v>
      </c>
      <c r="E20" s="228">
        <v>22497986</v>
      </c>
      <c r="F20" s="228">
        <v>6680435</v>
      </c>
      <c r="G20" s="228">
        <v>1206304734</v>
      </c>
      <c r="H20" s="228">
        <v>386955027</v>
      </c>
      <c r="I20" s="228">
        <f t="shared" si="0"/>
        <v>72103929.2024612</v>
      </c>
      <c r="J20" s="203">
        <f>SUM(J21:J22)</f>
        <v>20137943</v>
      </c>
      <c r="K20" s="206">
        <f>SUM(K21:K22)</f>
        <v>1</v>
      </c>
    </row>
    <row r="21" spans="1:11" ht="12.75" customHeight="1">
      <c r="A21" s="215" t="s">
        <v>135</v>
      </c>
      <c r="B21" s="216"/>
      <c r="C21" s="218" t="s">
        <v>167</v>
      </c>
      <c r="D21" s="202">
        <f>+$K$21*D20</f>
        <v>499922.00349966227</v>
      </c>
      <c r="E21" s="202">
        <f>+$K$21*E20</f>
        <v>8517492.588588417</v>
      </c>
      <c r="F21" s="202">
        <f>+$K$21*F20</f>
        <v>2529139.9683974674</v>
      </c>
      <c r="G21" s="202">
        <f>+$K$21*G20</f>
        <v>456693840.56973463</v>
      </c>
      <c r="H21" s="202">
        <f>+$K$21*H20</f>
        <v>146496960.86527616</v>
      </c>
      <c r="I21" s="202">
        <f t="shared" si="0"/>
        <v>27297762.679293476</v>
      </c>
      <c r="J21" s="203">
        <v>7624006</v>
      </c>
      <c r="K21" s="206">
        <f>+J21/J20</f>
        <v>0.3785891140917421</v>
      </c>
    </row>
    <row r="22" spans="1:11" ht="12.75" customHeight="1">
      <c r="A22" s="215" t="s">
        <v>136</v>
      </c>
      <c r="B22" s="216"/>
      <c r="C22" s="218" t="s">
        <v>174</v>
      </c>
      <c r="D22" s="202">
        <f>+$K$22*D20</f>
        <v>820564.9965003377</v>
      </c>
      <c r="E22" s="202">
        <f>+$K$22*E20</f>
        <v>13980493.411411583</v>
      </c>
      <c r="F22" s="202">
        <f>+$K$22*F20</f>
        <v>4151295.0316025326</v>
      </c>
      <c r="G22" s="202">
        <f>+$K$22*G20</f>
        <v>749610893.4302654</v>
      </c>
      <c r="H22" s="202">
        <f>+$K$22*H20</f>
        <v>240458066.13472384</v>
      </c>
      <c r="I22" s="202">
        <f t="shared" si="0"/>
        <v>44806166.52316772</v>
      </c>
      <c r="J22" s="203">
        <v>12513937</v>
      </c>
      <c r="K22" s="206">
        <f>+J22/J20</f>
        <v>0.6214108859082579</v>
      </c>
    </row>
    <row r="23" spans="1:11" ht="12.75" customHeight="1">
      <c r="A23" s="215">
        <v>12</v>
      </c>
      <c r="B23" s="216"/>
      <c r="C23" s="217" t="s">
        <v>51</v>
      </c>
      <c r="D23" s="296">
        <v>15140</v>
      </c>
      <c r="E23" s="228">
        <v>229333</v>
      </c>
      <c r="F23" s="228">
        <v>9972</v>
      </c>
      <c r="G23" s="228">
        <v>61776774</v>
      </c>
      <c r="H23" s="228">
        <v>4240060</v>
      </c>
      <c r="I23" s="228">
        <f t="shared" si="0"/>
        <v>4176656.8469526335</v>
      </c>
      <c r="J23" s="201"/>
      <c r="K23" s="207"/>
    </row>
    <row r="24" spans="1:11" ht="12.75" customHeight="1">
      <c r="A24" s="215" t="s">
        <v>89</v>
      </c>
      <c r="B24" s="216"/>
      <c r="C24" s="217" t="s">
        <v>52</v>
      </c>
      <c r="D24" s="202">
        <f>+D25+D26</f>
        <v>6794444</v>
      </c>
      <c r="E24" s="202">
        <f>+E25+E26</f>
        <v>138026456</v>
      </c>
      <c r="F24" s="202">
        <f>+F25+F26</f>
        <v>27302293</v>
      </c>
      <c r="G24" s="202">
        <f>+G25+G26</f>
        <v>18511618300</v>
      </c>
      <c r="H24" s="202">
        <f>+H25+H26</f>
        <v>3841413658</v>
      </c>
      <c r="I24" s="202">
        <f t="shared" si="0"/>
        <v>918632874.1218585</v>
      </c>
      <c r="J24" s="203"/>
      <c r="K24" s="206"/>
    </row>
    <row r="25" spans="1:11" ht="12.75" customHeight="1">
      <c r="A25" s="215" t="s">
        <v>137</v>
      </c>
      <c r="B25" s="216"/>
      <c r="C25" s="218" t="s">
        <v>168</v>
      </c>
      <c r="D25" s="296">
        <v>4800096</v>
      </c>
      <c r="E25" s="228">
        <v>96560665</v>
      </c>
      <c r="F25" s="228">
        <v>18265172</v>
      </c>
      <c r="G25" s="228">
        <v>12302453546</v>
      </c>
      <c r="H25" s="228">
        <v>2515131254</v>
      </c>
      <c r="I25" s="228">
        <f t="shared" si="0"/>
        <v>619423566.9115201</v>
      </c>
      <c r="J25" s="203"/>
      <c r="K25" s="207"/>
    </row>
    <row r="26" spans="1:11" ht="12.75" customHeight="1">
      <c r="A26" s="215" t="s">
        <v>160</v>
      </c>
      <c r="B26" s="216"/>
      <c r="C26" s="218" t="s">
        <v>169</v>
      </c>
      <c r="D26" s="296">
        <v>1994348</v>
      </c>
      <c r="E26" s="228">
        <v>41465791</v>
      </c>
      <c r="F26" s="228">
        <v>9037121</v>
      </c>
      <c r="G26" s="228">
        <v>6209164754</v>
      </c>
      <c r="H26" s="228">
        <v>1326282404</v>
      </c>
      <c r="I26" s="228">
        <f t="shared" si="0"/>
        <v>297573018.5353071</v>
      </c>
      <c r="J26" s="203"/>
      <c r="K26" s="207"/>
    </row>
    <row r="27" spans="1:11" ht="12.75" customHeight="1">
      <c r="A27" s="215">
        <v>18</v>
      </c>
      <c r="B27" s="216"/>
      <c r="C27" s="217" t="s">
        <v>53</v>
      </c>
      <c r="D27" s="296">
        <v>968738</v>
      </c>
      <c r="E27" s="228">
        <v>11964154</v>
      </c>
      <c r="F27" s="228">
        <v>5382009</v>
      </c>
      <c r="G27" s="228">
        <v>1615514831</v>
      </c>
      <c r="H27" s="228">
        <v>728151965</v>
      </c>
      <c r="I27" s="228">
        <f t="shared" si="0"/>
        <v>130887683.03534609</v>
      </c>
      <c r="J27" s="203">
        <f>+J28+J29</f>
        <v>9541036</v>
      </c>
      <c r="K27" s="206">
        <f>+K28+K29</f>
        <v>1</v>
      </c>
    </row>
    <row r="28" spans="1:11" ht="12.75" customHeight="1">
      <c r="A28" s="215" t="s">
        <v>138</v>
      </c>
      <c r="B28" s="216"/>
      <c r="C28" s="218" t="s">
        <v>170</v>
      </c>
      <c r="D28" s="202">
        <f>+$K$28*D27</f>
        <v>870314.1438212789</v>
      </c>
      <c r="E28" s="202">
        <f>+$K$28*E27</f>
        <v>10748595.022654144</v>
      </c>
      <c r="F28" s="202">
        <f>+$K$28*F27</f>
        <v>4835196.466819117</v>
      </c>
      <c r="G28" s="202">
        <f>+$K$28*G27</f>
        <v>1451378398.465161</v>
      </c>
      <c r="H28" s="202">
        <f>+$K$28*H27</f>
        <v>654171668.6975806</v>
      </c>
      <c r="I28" s="202">
        <f t="shared" si="0"/>
        <v>117589484.25441983</v>
      </c>
      <c r="J28" s="203">
        <v>8571666</v>
      </c>
      <c r="K28" s="207">
        <f>+J28/J27</f>
        <v>0.8983999221887434</v>
      </c>
    </row>
    <row r="29" spans="1:11" ht="12.75" customHeight="1">
      <c r="A29" s="215" t="s">
        <v>139</v>
      </c>
      <c r="B29" s="216"/>
      <c r="C29" s="218" t="s">
        <v>171</v>
      </c>
      <c r="D29" s="202">
        <f>+$K$29*D27</f>
        <v>98423.85617872105</v>
      </c>
      <c r="E29" s="202">
        <f>+$K$29*E27</f>
        <v>1215558.9773458564</v>
      </c>
      <c r="F29" s="202">
        <f>+$K$29*F27</f>
        <v>546812.5331808832</v>
      </c>
      <c r="G29" s="202">
        <f>+$K$29*G27</f>
        <v>164136432.534839</v>
      </c>
      <c r="H29" s="202">
        <f>+$K$29*H27</f>
        <v>73980296.30241936</v>
      </c>
      <c r="I29" s="202">
        <f t="shared" si="0"/>
        <v>13298198.780926246</v>
      </c>
      <c r="J29" s="203">
        <v>969370</v>
      </c>
      <c r="K29" s="207">
        <f>+J29/J27</f>
        <v>0.10160007781125656</v>
      </c>
    </row>
    <row r="30" spans="1:11" ht="12.75" customHeight="1">
      <c r="A30" s="215" t="s">
        <v>178</v>
      </c>
      <c r="B30" s="216"/>
      <c r="C30" s="218" t="s">
        <v>155</v>
      </c>
      <c r="D30" s="202">
        <f>+D31+D34</f>
        <v>12085151</v>
      </c>
      <c r="E30" s="202">
        <f>+E31+E34</f>
        <v>96219811</v>
      </c>
      <c r="F30" s="202">
        <f>+F31+F34</f>
        <v>11515956</v>
      </c>
      <c r="G30" s="202">
        <f>+G31+G34</f>
        <v>12251150478</v>
      </c>
      <c r="H30" s="202">
        <f>+H31+H34</f>
        <v>1455693650</v>
      </c>
      <c r="I30" s="202">
        <f t="shared" si="0"/>
        <v>1537551415.2170405</v>
      </c>
      <c r="J30" s="208"/>
      <c r="K30" s="209"/>
    </row>
    <row r="31" spans="1:11" ht="12.75" customHeight="1">
      <c r="A31" s="215">
        <v>19.2</v>
      </c>
      <c r="B31" s="216"/>
      <c r="C31" s="217" t="s">
        <v>54</v>
      </c>
      <c r="D31" s="296">
        <v>9734855</v>
      </c>
      <c r="E31" s="228">
        <v>92088370</v>
      </c>
      <c r="F31" s="228">
        <v>11266372</v>
      </c>
      <c r="G31" s="228">
        <v>11898239060</v>
      </c>
      <c r="H31" s="228">
        <v>1421642807</v>
      </c>
      <c r="I31" s="228">
        <f t="shared" si="0"/>
        <v>1254583157.803967</v>
      </c>
      <c r="J31" s="210"/>
      <c r="K31" s="211"/>
    </row>
    <row r="32" spans="1:11" ht="12.75" customHeight="1">
      <c r="A32" s="215" t="s">
        <v>179</v>
      </c>
      <c r="B32" s="216"/>
      <c r="C32" s="217" t="s">
        <v>156</v>
      </c>
      <c r="D32" s="204">
        <f>+D33+D35</f>
        <v>1922914</v>
      </c>
      <c r="E32" s="204">
        <f>+E33+E35</f>
        <v>37717396</v>
      </c>
      <c r="F32" s="204">
        <f>+F33+F35</f>
        <v>4674731</v>
      </c>
      <c r="G32" s="204">
        <f>+G33+G35</f>
        <v>4392350126</v>
      </c>
      <c r="H32" s="204">
        <f>+H33+H35</f>
        <v>544042858</v>
      </c>
      <c r="I32" s="204">
        <f t="shared" si="0"/>
        <v>223915614.76581195</v>
      </c>
      <c r="J32" s="210"/>
      <c r="K32" s="229"/>
    </row>
    <row r="33" spans="1:11" ht="12.75" customHeight="1">
      <c r="A33" s="215">
        <v>19.4</v>
      </c>
      <c r="B33" s="216"/>
      <c r="C33" s="217" t="s">
        <v>55</v>
      </c>
      <c r="D33" s="296">
        <v>1729798</v>
      </c>
      <c r="E33" s="228">
        <v>36486280</v>
      </c>
      <c r="F33" s="228">
        <v>4509095</v>
      </c>
      <c r="G33" s="228">
        <v>4254037413</v>
      </c>
      <c r="H33" s="228">
        <v>527347615</v>
      </c>
      <c r="I33" s="228">
        <f t="shared" si="0"/>
        <v>201750325.7053837</v>
      </c>
      <c r="J33" s="210"/>
      <c r="K33" s="229"/>
    </row>
    <row r="34" spans="1:11" ht="12.75" customHeight="1">
      <c r="A34" s="215">
        <v>21.1</v>
      </c>
      <c r="B34" s="216"/>
      <c r="C34" s="217" t="s">
        <v>56</v>
      </c>
      <c r="D34" s="296">
        <v>2350296</v>
      </c>
      <c r="E34" s="228">
        <v>4131441</v>
      </c>
      <c r="F34" s="228">
        <v>249584</v>
      </c>
      <c r="G34" s="228">
        <v>352911418</v>
      </c>
      <c r="H34" s="228">
        <v>34050843</v>
      </c>
      <c r="I34" s="228">
        <f t="shared" si="0"/>
        <v>207594308.22222105</v>
      </c>
      <c r="J34" s="210"/>
      <c r="K34" s="229"/>
    </row>
    <row r="35" spans="1:11" ht="12.75" customHeight="1">
      <c r="A35" s="215">
        <v>21.2</v>
      </c>
      <c r="B35" s="216"/>
      <c r="C35" s="217" t="s">
        <v>57</v>
      </c>
      <c r="D35" s="296">
        <v>193116</v>
      </c>
      <c r="E35" s="228">
        <v>1231116</v>
      </c>
      <c r="F35" s="228">
        <v>165636</v>
      </c>
      <c r="G35" s="228">
        <v>138312713</v>
      </c>
      <c r="H35" s="228">
        <v>16695243</v>
      </c>
      <c r="I35" s="228">
        <f t="shared" si="0"/>
        <v>21431518.573731057</v>
      </c>
      <c r="J35" s="210"/>
      <c r="K35" s="229"/>
    </row>
    <row r="36" spans="1:11" ht="12.75" customHeight="1">
      <c r="A36" s="219">
        <v>22</v>
      </c>
      <c r="B36" s="216"/>
      <c r="C36" s="217" t="s">
        <v>58</v>
      </c>
      <c r="D36" s="296">
        <v>101377</v>
      </c>
      <c r="E36" s="228">
        <v>1941539</v>
      </c>
      <c r="F36" s="228">
        <v>307881</v>
      </c>
      <c r="G36" s="228">
        <v>176783969</v>
      </c>
      <c r="H36" s="228">
        <v>29379905</v>
      </c>
      <c r="I36" s="228">
        <f t="shared" si="0"/>
        <v>9291406.253388874</v>
      </c>
      <c r="J36" s="210"/>
      <c r="K36" s="229"/>
    </row>
    <row r="37" spans="1:11" ht="12.75" customHeight="1">
      <c r="A37" s="219">
        <v>23</v>
      </c>
      <c r="B37" s="216"/>
      <c r="C37" s="217" t="s">
        <v>59</v>
      </c>
      <c r="D37" s="296">
        <v>81200</v>
      </c>
      <c r="E37" s="228">
        <v>1109334</v>
      </c>
      <c r="F37" s="228">
        <v>160361</v>
      </c>
      <c r="G37" s="228">
        <v>99802645</v>
      </c>
      <c r="H37" s="228">
        <v>15095832</v>
      </c>
      <c r="I37" s="228">
        <f t="shared" si="0"/>
        <v>7348029.512914519</v>
      </c>
      <c r="J37" s="210"/>
      <c r="K37" s="229"/>
    </row>
    <row r="38" spans="1:11" ht="12.75" customHeight="1">
      <c r="A38" s="219">
        <v>24</v>
      </c>
      <c r="B38" s="216"/>
      <c r="C38" s="217" t="s">
        <v>60</v>
      </c>
      <c r="D38" s="296">
        <v>234487</v>
      </c>
      <c r="E38" s="228">
        <v>2432638</v>
      </c>
      <c r="F38" s="228">
        <v>508578</v>
      </c>
      <c r="G38" s="228">
        <v>310839179</v>
      </c>
      <c r="H38" s="228">
        <v>64837675</v>
      </c>
      <c r="I38" s="228">
        <f t="shared" si="0"/>
        <v>29950652.54095517</v>
      </c>
      <c r="J38" s="210"/>
      <c r="K38" s="229"/>
    </row>
    <row r="39" spans="1:11" ht="12.75" customHeight="1">
      <c r="A39" s="219">
        <v>26</v>
      </c>
      <c r="B39" s="216"/>
      <c r="C39" s="217" t="s">
        <v>61</v>
      </c>
      <c r="D39" s="296">
        <v>16451</v>
      </c>
      <c r="E39" s="228">
        <v>153297</v>
      </c>
      <c r="F39" s="228">
        <v>26711</v>
      </c>
      <c r="G39" s="228">
        <v>19326605</v>
      </c>
      <c r="H39" s="228">
        <v>2994206</v>
      </c>
      <c r="I39" s="228">
        <f t="shared" si="0"/>
        <v>2039907.4583407403</v>
      </c>
      <c r="J39" s="210"/>
      <c r="K39" s="229"/>
    </row>
    <row r="40" spans="1:11" ht="12.75" customHeight="1">
      <c r="A40" s="219">
        <v>27</v>
      </c>
      <c r="B40" s="216"/>
      <c r="C40" s="217" t="s">
        <v>62</v>
      </c>
      <c r="D40" s="296">
        <v>36066</v>
      </c>
      <c r="E40" s="228">
        <v>747013</v>
      </c>
      <c r="F40" s="228">
        <v>20848</v>
      </c>
      <c r="G40" s="228">
        <v>54679196</v>
      </c>
      <c r="H40" s="228">
        <v>2446120</v>
      </c>
      <c r="I40" s="228">
        <f t="shared" si="0"/>
        <v>2683144.0154611315</v>
      </c>
      <c r="J40" s="210"/>
      <c r="K40" s="229"/>
    </row>
    <row r="41" spans="1:11" ht="12.75" customHeight="1">
      <c r="A41" s="215" t="s">
        <v>100</v>
      </c>
      <c r="B41" s="216"/>
      <c r="C41" s="217" t="s">
        <v>63</v>
      </c>
      <c r="D41" s="296">
        <v>60233</v>
      </c>
      <c r="E41" s="228">
        <v>690534</v>
      </c>
      <c r="F41" s="228">
        <v>20172</v>
      </c>
      <c r="G41" s="228">
        <v>60894527</v>
      </c>
      <c r="H41" s="228">
        <v>2324013</v>
      </c>
      <c r="I41" s="228">
        <f t="shared" si="0"/>
        <v>5357830.551339091</v>
      </c>
      <c r="J41" s="210"/>
      <c r="K41" s="229"/>
    </row>
    <row r="42" spans="1:11" ht="12.75" customHeight="1">
      <c r="A42" s="215" t="s">
        <v>158</v>
      </c>
      <c r="B42" s="216"/>
      <c r="C42" s="217" t="s">
        <v>157</v>
      </c>
      <c r="D42" s="296">
        <v>3168</v>
      </c>
      <c r="E42" s="228">
        <v>187487</v>
      </c>
      <c r="F42" s="228">
        <v>1475</v>
      </c>
      <c r="G42" s="228">
        <v>12642328</v>
      </c>
      <c r="H42" s="228">
        <v>90066</v>
      </c>
      <c r="I42" s="228">
        <f t="shared" si="0"/>
        <v>213462.09392364603</v>
      </c>
      <c r="J42" s="210"/>
      <c r="K42" s="229"/>
    </row>
    <row r="43" spans="1:11" ht="12.75" customHeight="1" thickBot="1">
      <c r="A43" s="220" t="s">
        <v>102</v>
      </c>
      <c r="B43" s="221"/>
      <c r="C43" s="222" t="s">
        <v>64</v>
      </c>
      <c r="D43" s="297">
        <v>23534</v>
      </c>
      <c r="E43" s="230">
        <v>-631971</v>
      </c>
      <c r="F43" s="230">
        <v>103014</v>
      </c>
      <c r="G43" s="230">
        <v>69589930</v>
      </c>
      <c r="H43" s="230">
        <v>4682216</v>
      </c>
      <c r="I43" s="230">
        <f t="shared" si="0"/>
        <v>-3304466.495318145</v>
      </c>
      <c r="J43" s="231"/>
      <c r="K43" s="232"/>
    </row>
    <row r="44" spans="1:11" s="90" customFormat="1" ht="12.75" customHeight="1" thickBot="1">
      <c r="A44" s="88"/>
      <c r="B44" s="88"/>
      <c r="C44" s="89"/>
      <c r="D44" s="138"/>
      <c r="E44" s="139"/>
      <c r="F44" s="139"/>
      <c r="G44" s="139"/>
      <c r="H44" s="139"/>
      <c r="I44" s="139"/>
      <c r="J44" s="140"/>
      <c r="K44" s="141"/>
    </row>
    <row r="45" spans="1:11" s="94" customFormat="1" ht="21" customHeight="1" thickBot="1">
      <c r="A45" s="91"/>
      <c r="B45" s="92"/>
      <c r="C45" s="93" t="s">
        <v>65</v>
      </c>
      <c r="D45" s="142">
        <f>SUM(D10:D43)-D16-D20-D24-D27-D30-D32</f>
        <v>30710121</v>
      </c>
      <c r="E45" s="142">
        <f>SUM(E10:E43)-E16-E20-E24-E27-E30-E32</f>
        <v>411482785</v>
      </c>
      <c r="F45" s="142">
        <f>SUM(F10:F43)-F16-F20-F24-F27-F30-F32</f>
        <v>69914340</v>
      </c>
      <c r="G45" s="142">
        <f>SUM(G10:G43)-G16-G20-G24-G27-G30-G32</f>
        <v>57295934452</v>
      </c>
      <c r="H45" s="142">
        <f>SUM(H10:H43)-H16-H20-H24-H27-H30-H32</f>
        <v>8910958816</v>
      </c>
      <c r="I45" s="142">
        <f>+D45*(G45+H45)/(E45+F45)</f>
        <v>4223585056.2970552</v>
      </c>
      <c r="J45" s="143"/>
      <c r="K45" s="144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- 9/19/2019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6384" width="9.28125" style="70" customWidth="1"/>
  </cols>
  <sheetData>
    <row r="1" spans="1:11" ht="46.5" customHeight="1">
      <c r="A1" s="463" t="s">
        <v>191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5" customHeight="1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s="75" customFormat="1" ht="11.2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</row>
    <row r="5" spans="1:11" ht="12.75">
      <c r="A5" s="76"/>
      <c r="B5" s="77"/>
      <c r="C5" s="78"/>
      <c r="D5" s="79">
        <v>2017</v>
      </c>
      <c r="E5" s="79">
        <v>2017</v>
      </c>
      <c r="F5" s="79">
        <v>2017</v>
      </c>
      <c r="G5" s="79">
        <v>2017</v>
      </c>
      <c r="H5" s="79">
        <v>2017</v>
      </c>
      <c r="I5" s="79">
        <v>2017</v>
      </c>
      <c r="J5" s="79">
        <v>2017</v>
      </c>
      <c r="K5" s="80">
        <v>2017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 customHeight="1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1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24" t="s">
        <v>116</v>
      </c>
      <c r="J8" s="84" t="s">
        <v>108</v>
      </c>
      <c r="K8" s="85"/>
    </row>
    <row r="9" spans="1:11" ht="11.25" customHeight="1" thickBot="1">
      <c r="A9" s="77"/>
      <c r="B9" s="77"/>
      <c r="C9" s="87"/>
      <c r="D9" s="298"/>
      <c r="E9" s="298"/>
      <c r="F9" s="298"/>
      <c r="G9" s="298"/>
      <c r="H9" s="298"/>
      <c r="I9" s="298"/>
      <c r="J9" s="298"/>
      <c r="K9" s="298"/>
    </row>
    <row r="10" spans="1:11" ht="12.75" customHeight="1">
      <c r="A10" s="212" t="s">
        <v>76</v>
      </c>
      <c r="B10" s="213"/>
      <c r="C10" s="214" t="s">
        <v>41</v>
      </c>
      <c r="D10" s="295">
        <v>255209</v>
      </c>
      <c r="E10" s="225">
        <v>6854312</v>
      </c>
      <c r="F10" s="225">
        <v>237786</v>
      </c>
      <c r="G10" s="225">
        <v>860410425</v>
      </c>
      <c r="H10" s="225">
        <v>25260065</v>
      </c>
      <c r="I10" s="199">
        <f aca="true" t="shared" si="0" ref="I10:I45">+D10*(G10+H10)/(E10+F10)</f>
        <v>31870834.283791624</v>
      </c>
      <c r="J10" s="132"/>
      <c r="K10" s="133"/>
    </row>
    <row r="11" spans="1:11" ht="12.75" customHeight="1">
      <c r="A11" s="215" t="s">
        <v>77</v>
      </c>
      <c r="B11" s="216"/>
      <c r="C11" s="217" t="s">
        <v>42</v>
      </c>
      <c r="D11" s="296">
        <v>325934</v>
      </c>
      <c r="E11" s="228">
        <v>15494254</v>
      </c>
      <c r="F11" s="228">
        <v>472212</v>
      </c>
      <c r="G11" s="228">
        <v>607127796</v>
      </c>
      <c r="H11" s="228">
        <v>23242215</v>
      </c>
      <c r="I11" s="200">
        <f t="shared" si="0"/>
        <v>12868158.750049885</v>
      </c>
      <c r="J11" s="134"/>
      <c r="K11" s="135"/>
    </row>
    <row r="12" spans="1:11" ht="12.75" customHeight="1">
      <c r="A12" s="215" t="s">
        <v>182</v>
      </c>
      <c r="B12" s="149"/>
      <c r="C12" s="217" t="s">
        <v>183</v>
      </c>
      <c r="D12" s="296">
        <v>2691</v>
      </c>
      <c r="E12" s="228">
        <v>250159</v>
      </c>
      <c r="F12" s="228">
        <v>2535</v>
      </c>
      <c r="G12" s="228">
        <v>11833333</v>
      </c>
      <c r="H12" s="228">
        <v>210504</v>
      </c>
      <c r="I12" s="200">
        <f t="shared" si="0"/>
        <v>128257.75589052371</v>
      </c>
      <c r="J12" s="134"/>
      <c r="K12" s="135"/>
    </row>
    <row r="13" spans="1:11" ht="12.75" customHeight="1">
      <c r="A13" s="215" t="s">
        <v>184</v>
      </c>
      <c r="B13" s="149"/>
      <c r="C13" s="217" t="s">
        <v>185</v>
      </c>
      <c r="D13" s="296">
        <v>16416</v>
      </c>
      <c r="E13" s="228">
        <v>602985</v>
      </c>
      <c r="F13" s="228">
        <v>6906</v>
      </c>
      <c r="G13" s="228">
        <v>6749098</v>
      </c>
      <c r="H13" s="228">
        <v>152583</v>
      </c>
      <c r="I13" s="200">
        <f t="shared" si="0"/>
        <v>185767.61305872689</v>
      </c>
      <c r="J13" s="134"/>
      <c r="K13" s="135"/>
    </row>
    <row r="14" spans="1:11" ht="12.75" customHeight="1">
      <c r="A14" s="215" t="s">
        <v>78</v>
      </c>
      <c r="B14" s="216"/>
      <c r="C14" s="217" t="s">
        <v>43</v>
      </c>
      <c r="D14" s="296">
        <v>72416</v>
      </c>
      <c r="E14" s="228">
        <v>1259806</v>
      </c>
      <c r="F14" s="228">
        <v>120148</v>
      </c>
      <c r="G14" s="228">
        <v>318095529</v>
      </c>
      <c r="H14" s="228">
        <v>25327342</v>
      </c>
      <c r="I14" s="200">
        <f t="shared" si="0"/>
        <v>18021840.312311858</v>
      </c>
      <c r="J14" s="134"/>
      <c r="K14" s="135"/>
    </row>
    <row r="15" spans="1:11" ht="12.75" customHeight="1">
      <c r="A15" s="215" t="s">
        <v>79</v>
      </c>
      <c r="B15" s="216"/>
      <c r="C15" s="217" t="s">
        <v>44</v>
      </c>
      <c r="D15" s="296">
        <v>3587480</v>
      </c>
      <c r="E15" s="228">
        <v>29506392</v>
      </c>
      <c r="F15" s="228">
        <v>2296749</v>
      </c>
      <c r="G15" s="228">
        <v>9147135617</v>
      </c>
      <c r="H15" s="228">
        <v>404218293</v>
      </c>
      <c r="I15" s="200">
        <f t="shared" si="0"/>
        <v>1077418457.6626189</v>
      </c>
      <c r="J15" s="134"/>
      <c r="K15" s="135"/>
    </row>
    <row r="16" spans="1:11" ht="12.75" customHeight="1">
      <c r="A16" s="215" t="s">
        <v>142</v>
      </c>
      <c r="B16" s="216"/>
      <c r="C16" s="218" t="s">
        <v>141</v>
      </c>
      <c r="D16" s="202">
        <f>+D17+D18</f>
        <v>2409685</v>
      </c>
      <c r="E16" s="202">
        <f>+E17+E18</f>
        <v>37148555</v>
      </c>
      <c r="F16" s="202">
        <f>+F17+F18</f>
        <v>9279558</v>
      </c>
      <c r="G16" s="202">
        <f>+G17+G18</f>
        <v>4659317190</v>
      </c>
      <c r="H16" s="202">
        <f>+H17+H18</f>
        <v>1242957798</v>
      </c>
      <c r="I16" s="202">
        <f t="shared" si="0"/>
        <v>306336454.04582304</v>
      </c>
      <c r="J16" s="134"/>
      <c r="K16" s="135"/>
    </row>
    <row r="17" spans="1:11" ht="12.75" customHeight="1">
      <c r="A17" s="215" t="s">
        <v>80</v>
      </c>
      <c r="B17" s="216"/>
      <c r="C17" s="218" t="s">
        <v>45</v>
      </c>
      <c r="D17" s="296">
        <v>771751</v>
      </c>
      <c r="E17" s="228">
        <v>13519474</v>
      </c>
      <c r="F17" s="228">
        <v>924936</v>
      </c>
      <c r="G17" s="228">
        <v>1662957658</v>
      </c>
      <c r="H17" s="228">
        <v>115077963</v>
      </c>
      <c r="I17" s="200">
        <f t="shared" si="0"/>
        <v>94998741.28070104</v>
      </c>
      <c r="J17" s="134"/>
      <c r="K17" s="135"/>
    </row>
    <row r="18" spans="1:11" ht="12.75" customHeight="1">
      <c r="A18" s="215" t="s">
        <v>81</v>
      </c>
      <c r="B18" s="216"/>
      <c r="C18" s="218" t="s">
        <v>46</v>
      </c>
      <c r="D18" s="296">
        <v>1637934</v>
      </c>
      <c r="E18" s="228">
        <v>23629081</v>
      </c>
      <c r="F18" s="228">
        <v>8354622</v>
      </c>
      <c r="G18" s="228">
        <v>2996359532</v>
      </c>
      <c r="H18" s="228">
        <v>1127879835</v>
      </c>
      <c r="I18" s="200">
        <f t="shared" si="0"/>
        <v>211208560.91453132</v>
      </c>
      <c r="J18" s="134"/>
      <c r="K18" s="135"/>
    </row>
    <row r="19" spans="1:11" ht="12.75" customHeight="1">
      <c r="A19" s="215" t="s">
        <v>85</v>
      </c>
      <c r="B19" s="216"/>
      <c r="C19" s="217" t="s">
        <v>48</v>
      </c>
      <c r="D19" s="296">
        <v>274105</v>
      </c>
      <c r="E19" s="228">
        <v>5155432</v>
      </c>
      <c r="F19" s="228">
        <v>226482</v>
      </c>
      <c r="G19" s="228">
        <v>530767697</v>
      </c>
      <c r="H19" s="228">
        <v>34659729</v>
      </c>
      <c r="I19" s="200">
        <f t="shared" si="0"/>
        <v>28797651.65398964</v>
      </c>
      <c r="J19" s="134"/>
      <c r="K19" s="135"/>
    </row>
    <row r="20" spans="1:11" ht="12.75" customHeight="1">
      <c r="A20" s="215" t="s">
        <v>87</v>
      </c>
      <c r="B20" s="216"/>
      <c r="C20" s="218" t="s">
        <v>159</v>
      </c>
      <c r="D20" s="296">
        <v>952421</v>
      </c>
      <c r="E20" s="228">
        <v>23050369</v>
      </c>
      <c r="F20" s="228">
        <v>6940176</v>
      </c>
      <c r="G20" s="228">
        <v>1264314676</v>
      </c>
      <c r="H20" s="228">
        <v>416410282</v>
      </c>
      <c r="I20" s="200">
        <f t="shared" si="0"/>
        <v>53375413.658648685</v>
      </c>
      <c r="J20" s="203">
        <f>SUM(J21:J22)</f>
        <v>20366241</v>
      </c>
      <c r="K20" s="206">
        <f>SUM(K21:K22)</f>
        <v>1</v>
      </c>
    </row>
    <row r="21" spans="1:11" ht="12.75" customHeight="1">
      <c r="A21" s="215" t="s">
        <v>135</v>
      </c>
      <c r="B21" s="216"/>
      <c r="C21" s="218" t="s">
        <v>167</v>
      </c>
      <c r="D21" s="202">
        <f>+$K$21*D20</f>
        <v>368008.6223250034</v>
      </c>
      <c r="E21" s="202">
        <f>+$K$21*E20</f>
        <v>8906496.748573337</v>
      </c>
      <c r="F21" s="202">
        <f>+$K$21*F20</f>
        <v>2681634.076162803</v>
      </c>
      <c r="G21" s="202">
        <f>+$K$21*G20</f>
        <v>488522094.85095674</v>
      </c>
      <c r="H21" s="202">
        <f>+$K$21*H20</f>
        <v>160897937.1525682</v>
      </c>
      <c r="I21" s="202">
        <f t="shared" si="0"/>
        <v>20623875.834894937</v>
      </c>
      <c r="J21" s="203">
        <v>7869369</v>
      </c>
      <c r="K21" s="206">
        <f>+J21/J20</f>
        <v>0.3863928056237771</v>
      </c>
    </row>
    <row r="22" spans="1:11" ht="12.75" customHeight="1">
      <c r="A22" s="215" t="s">
        <v>136</v>
      </c>
      <c r="B22" s="216"/>
      <c r="C22" s="218" t="s">
        <v>174</v>
      </c>
      <c r="D22" s="202">
        <f>+$K$22*D20</f>
        <v>584412.3776749966</v>
      </c>
      <c r="E22" s="202">
        <f>+$K$22*E20</f>
        <v>14143872.251426663</v>
      </c>
      <c r="F22" s="202">
        <f>+$K$22*F20</f>
        <v>4258541.923837197</v>
      </c>
      <c r="G22" s="202">
        <f>+$K$22*G20</f>
        <v>775792581.1490433</v>
      </c>
      <c r="H22" s="202">
        <f>+$K$22*H20</f>
        <v>255512344.8474318</v>
      </c>
      <c r="I22" s="202">
        <f t="shared" si="0"/>
        <v>32751537.82375375</v>
      </c>
      <c r="J22" s="203">
        <v>12496872</v>
      </c>
      <c r="K22" s="206">
        <f>+J22/J20</f>
        <v>0.6136071943762229</v>
      </c>
    </row>
    <row r="23" spans="1:11" ht="12.75" customHeight="1">
      <c r="A23" s="215">
        <v>12</v>
      </c>
      <c r="B23" s="216"/>
      <c r="C23" s="217" t="s">
        <v>51</v>
      </c>
      <c r="D23" s="296">
        <v>4492</v>
      </c>
      <c r="E23" s="228">
        <v>156178</v>
      </c>
      <c r="F23" s="228">
        <v>5868</v>
      </c>
      <c r="G23" s="228">
        <v>31426314</v>
      </c>
      <c r="H23" s="228">
        <v>2204388</v>
      </c>
      <c r="I23" s="200">
        <f t="shared" si="0"/>
        <v>932260.6752650482</v>
      </c>
      <c r="J23" s="201"/>
      <c r="K23" s="207"/>
    </row>
    <row r="24" spans="1:11" ht="12.75" customHeight="1">
      <c r="A24" s="215" t="s">
        <v>89</v>
      </c>
      <c r="B24" s="216"/>
      <c r="C24" s="217" t="s">
        <v>52</v>
      </c>
      <c r="D24" s="202">
        <f>+D25+D26</f>
        <v>6975812</v>
      </c>
      <c r="E24" s="202">
        <f>+E25+E26</f>
        <v>132691995</v>
      </c>
      <c r="F24" s="202">
        <f>+F25+F26</f>
        <v>26418861</v>
      </c>
      <c r="G24" s="202">
        <f>+G25+G26</f>
        <v>17571034872</v>
      </c>
      <c r="H24" s="202">
        <f>+H25+H26</f>
        <v>3715539021</v>
      </c>
      <c r="I24" s="202">
        <f t="shared" si="0"/>
        <v>933255852.7727116</v>
      </c>
      <c r="J24" s="203"/>
      <c r="K24" s="206"/>
    </row>
    <row r="25" spans="1:11" ht="12.75" customHeight="1">
      <c r="A25" s="215" t="s">
        <v>137</v>
      </c>
      <c r="B25" s="216"/>
      <c r="C25" s="218" t="s">
        <v>168</v>
      </c>
      <c r="D25" s="296">
        <v>5030969</v>
      </c>
      <c r="E25" s="228">
        <v>92033343</v>
      </c>
      <c r="F25" s="228">
        <v>17535387</v>
      </c>
      <c r="G25" s="228">
        <v>11653841409</v>
      </c>
      <c r="H25" s="228">
        <v>2471009868</v>
      </c>
      <c r="I25" s="200">
        <f t="shared" si="0"/>
        <v>648558114.2009898</v>
      </c>
      <c r="J25" s="203"/>
      <c r="K25" s="207"/>
    </row>
    <row r="26" spans="1:11" ht="12.75" customHeight="1">
      <c r="A26" s="215" t="s">
        <v>160</v>
      </c>
      <c r="B26" s="216"/>
      <c r="C26" s="218" t="s">
        <v>169</v>
      </c>
      <c r="D26" s="296">
        <v>1944843</v>
      </c>
      <c r="E26" s="228">
        <v>40658652</v>
      </c>
      <c r="F26" s="228">
        <v>8883474</v>
      </c>
      <c r="G26" s="228">
        <v>5917193463</v>
      </c>
      <c r="H26" s="228">
        <v>1244529153</v>
      </c>
      <c r="I26" s="200">
        <f t="shared" si="0"/>
        <v>281143084.12338394</v>
      </c>
      <c r="J26" s="203"/>
      <c r="K26" s="207"/>
    </row>
    <row r="27" spans="1:11" ht="12.75" customHeight="1">
      <c r="A27" s="215">
        <v>18</v>
      </c>
      <c r="B27" s="216"/>
      <c r="C27" s="217" t="s">
        <v>53</v>
      </c>
      <c r="D27" s="296">
        <v>925038</v>
      </c>
      <c r="E27" s="228">
        <v>11632573</v>
      </c>
      <c r="F27" s="228">
        <v>5347499</v>
      </c>
      <c r="G27" s="228">
        <v>1421278193</v>
      </c>
      <c r="H27" s="228">
        <v>718050378</v>
      </c>
      <c r="I27" s="200">
        <f t="shared" si="0"/>
        <v>116546044.2488523</v>
      </c>
      <c r="J27" s="203">
        <f>+J28+J29</f>
        <v>9724879</v>
      </c>
      <c r="K27" s="206">
        <f>+K28+K29</f>
        <v>1</v>
      </c>
    </row>
    <row r="28" spans="1:11" ht="12.75" customHeight="1">
      <c r="A28" s="215" t="s">
        <v>138</v>
      </c>
      <c r="B28" s="216"/>
      <c r="C28" s="218" t="s">
        <v>170</v>
      </c>
      <c r="D28" s="202">
        <f>+$K$28*D27</f>
        <v>836312.3875595778</v>
      </c>
      <c r="E28" s="202">
        <f>+$K$28*E27</f>
        <v>10516827.30773339</v>
      </c>
      <c r="F28" s="202">
        <f>+$K$28*F27</f>
        <v>4834590.207280625</v>
      </c>
      <c r="G28" s="202">
        <f>+$K$28*G27</f>
        <v>1284955384.5076554</v>
      </c>
      <c r="H28" s="202">
        <f>+$K$28*H27</f>
        <v>649178115.9403585</v>
      </c>
      <c r="I28" s="202">
        <f t="shared" si="0"/>
        <v>105367455.74385256</v>
      </c>
      <c r="J28" s="203">
        <v>8792111</v>
      </c>
      <c r="K28" s="207">
        <f>+J28/J27</f>
        <v>0.9040843593015399</v>
      </c>
    </row>
    <row r="29" spans="1:11" ht="12.75" customHeight="1">
      <c r="A29" s="215" t="s">
        <v>139</v>
      </c>
      <c r="B29" s="216"/>
      <c r="C29" s="218" t="s">
        <v>171</v>
      </c>
      <c r="D29" s="202">
        <f>+$K$29*D27</f>
        <v>88725.61244042213</v>
      </c>
      <c r="E29" s="202">
        <f>+$K$29*E27</f>
        <v>1115745.6922666081</v>
      </c>
      <c r="F29" s="202">
        <f>+$K$29*F27</f>
        <v>512908.7927193747</v>
      </c>
      <c r="G29" s="202">
        <f>+$K$29*G27</f>
        <v>136322808.49234465</v>
      </c>
      <c r="H29" s="202">
        <f>+$K$29*H27</f>
        <v>68872262.05964147</v>
      </c>
      <c r="I29" s="202">
        <f t="shared" si="0"/>
        <v>11178588.50499975</v>
      </c>
      <c r="J29" s="203">
        <v>932768</v>
      </c>
      <c r="K29" s="207">
        <f>+J29/J27</f>
        <v>0.0959156406984601</v>
      </c>
    </row>
    <row r="30" spans="1:11" ht="12.75" customHeight="1">
      <c r="A30" s="215" t="s">
        <v>178</v>
      </c>
      <c r="B30" s="216"/>
      <c r="C30" s="218" t="s">
        <v>155</v>
      </c>
      <c r="D30" s="202">
        <f>+D31+D34</f>
        <v>12298787</v>
      </c>
      <c r="E30" s="202">
        <f>+E31+E34</f>
        <v>92082106</v>
      </c>
      <c r="F30" s="202">
        <f>+F31+F34</f>
        <v>10786112</v>
      </c>
      <c r="G30" s="202">
        <f>+G31+G34</f>
        <v>11095571040</v>
      </c>
      <c r="H30" s="202">
        <f>+H31+H34</f>
        <v>1297868899</v>
      </c>
      <c r="I30" s="202">
        <f t="shared" si="0"/>
        <v>1481743156.1520195</v>
      </c>
      <c r="J30" s="208"/>
      <c r="K30" s="209"/>
    </row>
    <row r="31" spans="1:11" ht="12.75" customHeight="1">
      <c r="A31" s="215">
        <v>19.2</v>
      </c>
      <c r="B31" s="216"/>
      <c r="C31" s="217" t="s">
        <v>54</v>
      </c>
      <c r="D31" s="296">
        <v>9905173</v>
      </c>
      <c r="E31" s="228">
        <v>87756513</v>
      </c>
      <c r="F31" s="228">
        <v>10536377</v>
      </c>
      <c r="G31" s="228">
        <v>10762451444</v>
      </c>
      <c r="H31" s="228">
        <v>1260157917</v>
      </c>
      <c r="I31" s="200">
        <f t="shared" si="0"/>
        <v>1211542621.568299</v>
      </c>
      <c r="J31" s="210"/>
      <c r="K31" s="211"/>
    </row>
    <row r="32" spans="1:11" ht="12.75" customHeight="1">
      <c r="A32" s="215" t="s">
        <v>179</v>
      </c>
      <c r="B32" s="216"/>
      <c r="C32" s="217" t="s">
        <v>156</v>
      </c>
      <c r="D32" s="204">
        <f>+D33+D35</f>
        <v>1776607</v>
      </c>
      <c r="E32" s="204">
        <f>+E33+E35</f>
        <v>34226265</v>
      </c>
      <c r="F32" s="204">
        <f>+F33+F35</f>
        <v>4346407</v>
      </c>
      <c r="G32" s="204">
        <f>+G33+G35</f>
        <v>3965838350</v>
      </c>
      <c r="H32" s="204">
        <f>+H33+H35</f>
        <v>508433557</v>
      </c>
      <c r="I32" s="202">
        <f t="shared" si="0"/>
        <v>206079132.6532823</v>
      </c>
      <c r="J32" s="134"/>
      <c r="K32" s="135"/>
    </row>
    <row r="33" spans="1:11" ht="12.75" customHeight="1">
      <c r="A33" s="215">
        <v>19.4</v>
      </c>
      <c r="B33" s="216"/>
      <c r="C33" s="217" t="s">
        <v>55</v>
      </c>
      <c r="D33" s="296">
        <v>1616344</v>
      </c>
      <c r="E33" s="228">
        <v>33105565</v>
      </c>
      <c r="F33" s="228">
        <v>4181866</v>
      </c>
      <c r="G33" s="228">
        <v>3842347572</v>
      </c>
      <c r="H33" s="228">
        <v>491266328</v>
      </c>
      <c r="I33" s="200">
        <f t="shared" si="0"/>
        <v>187854476.36715975</v>
      </c>
      <c r="J33" s="134"/>
      <c r="K33" s="135"/>
    </row>
    <row r="34" spans="1:11" ht="12.75" customHeight="1">
      <c r="A34" s="215">
        <v>21.1</v>
      </c>
      <c r="B34" s="216"/>
      <c r="C34" s="217" t="s">
        <v>56</v>
      </c>
      <c r="D34" s="296">
        <v>2393614</v>
      </c>
      <c r="E34" s="228">
        <v>4325593</v>
      </c>
      <c r="F34" s="228">
        <v>249735</v>
      </c>
      <c r="G34" s="228">
        <v>333119596</v>
      </c>
      <c r="H34" s="228">
        <v>37710982</v>
      </c>
      <c r="I34" s="200">
        <f t="shared" si="0"/>
        <v>194002542.14099884</v>
      </c>
      <c r="J34" s="134"/>
      <c r="K34" s="135"/>
    </row>
    <row r="35" spans="1:11" ht="12.75" customHeight="1">
      <c r="A35" s="215">
        <v>21.2</v>
      </c>
      <c r="B35" s="216"/>
      <c r="C35" s="217" t="s">
        <v>57</v>
      </c>
      <c r="D35" s="296">
        <v>160263</v>
      </c>
      <c r="E35" s="228">
        <v>1120700</v>
      </c>
      <c r="F35" s="228">
        <v>164541</v>
      </c>
      <c r="G35" s="228">
        <v>123490778</v>
      </c>
      <c r="H35" s="228">
        <v>17167229</v>
      </c>
      <c r="I35" s="200">
        <f t="shared" si="0"/>
        <v>17539336.33913095</v>
      </c>
      <c r="J35" s="134"/>
      <c r="K35" s="135"/>
    </row>
    <row r="36" spans="1:11" ht="12.75" customHeight="1">
      <c r="A36" s="219">
        <v>22</v>
      </c>
      <c r="B36" s="216"/>
      <c r="C36" s="217" t="s">
        <v>58</v>
      </c>
      <c r="D36" s="296">
        <v>75321</v>
      </c>
      <c r="E36" s="228">
        <v>2358734</v>
      </c>
      <c r="F36" s="228">
        <v>335791</v>
      </c>
      <c r="G36" s="228">
        <v>151428409</v>
      </c>
      <c r="H36" s="228">
        <v>23925616</v>
      </c>
      <c r="I36" s="200">
        <f t="shared" si="0"/>
        <v>4901732.408133158</v>
      </c>
      <c r="J36" s="134"/>
      <c r="K36" s="135"/>
    </row>
    <row r="37" spans="1:11" ht="12.75" customHeight="1">
      <c r="A37" s="219">
        <v>23</v>
      </c>
      <c r="B37" s="216"/>
      <c r="C37" s="217" t="s">
        <v>59</v>
      </c>
      <c r="D37" s="296">
        <v>69771</v>
      </c>
      <c r="E37" s="228">
        <v>1201509</v>
      </c>
      <c r="F37" s="228">
        <v>157403</v>
      </c>
      <c r="G37" s="228">
        <v>107143015</v>
      </c>
      <c r="H37" s="228">
        <v>15193896</v>
      </c>
      <c r="I37" s="200">
        <f t="shared" si="0"/>
        <v>6281178.337803331</v>
      </c>
      <c r="J37" s="134"/>
      <c r="K37" s="135"/>
    </row>
    <row r="38" spans="1:11" ht="12.75" customHeight="1">
      <c r="A38" s="219">
        <v>24</v>
      </c>
      <c r="B38" s="216"/>
      <c r="C38" s="217" t="s">
        <v>60</v>
      </c>
      <c r="D38" s="296">
        <v>220177</v>
      </c>
      <c r="E38" s="228">
        <v>2563042</v>
      </c>
      <c r="F38" s="228">
        <v>491247</v>
      </c>
      <c r="G38" s="228">
        <v>317568317</v>
      </c>
      <c r="H38" s="228">
        <v>63763038</v>
      </c>
      <c r="I38" s="200">
        <f t="shared" si="0"/>
        <v>27489341.62740821</v>
      </c>
      <c r="J38" s="134"/>
      <c r="K38" s="135"/>
    </row>
    <row r="39" spans="1:11" ht="12.75" customHeight="1">
      <c r="A39" s="219">
        <v>26</v>
      </c>
      <c r="B39" s="216"/>
      <c r="C39" s="217" t="s">
        <v>61</v>
      </c>
      <c r="D39" s="296">
        <v>12845</v>
      </c>
      <c r="E39" s="228">
        <v>154245</v>
      </c>
      <c r="F39" s="228">
        <v>20863</v>
      </c>
      <c r="G39" s="228">
        <v>18956955</v>
      </c>
      <c r="H39" s="228">
        <v>2527211</v>
      </c>
      <c r="I39" s="200">
        <f t="shared" si="0"/>
        <v>1575965.188740663</v>
      </c>
      <c r="J39" s="134"/>
      <c r="K39" s="135"/>
    </row>
    <row r="40" spans="1:11" ht="12.75" customHeight="1">
      <c r="A40" s="219">
        <v>27</v>
      </c>
      <c r="B40" s="216"/>
      <c r="C40" s="217" t="s">
        <v>62</v>
      </c>
      <c r="D40" s="296">
        <v>27372</v>
      </c>
      <c r="E40" s="228">
        <v>683616</v>
      </c>
      <c r="F40" s="228">
        <v>17867</v>
      </c>
      <c r="G40" s="228">
        <v>86081294</v>
      </c>
      <c r="H40" s="228">
        <v>3062632</v>
      </c>
      <c r="I40" s="200">
        <f t="shared" si="0"/>
        <v>3478412.937265764</v>
      </c>
      <c r="J40" s="134"/>
      <c r="K40" s="135"/>
    </row>
    <row r="41" spans="1:11" ht="12.75" customHeight="1">
      <c r="A41" s="215" t="s">
        <v>100</v>
      </c>
      <c r="B41" s="216"/>
      <c r="C41" s="217" t="s">
        <v>63</v>
      </c>
      <c r="D41" s="296">
        <v>67501</v>
      </c>
      <c r="E41" s="228">
        <v>682551</v>
      </c>
      <c r="F41" s="228">
        <v>16965</v>
      </c>
      <c r="G41" s="228">
        <v>50159599</v>
      </c>
      <c r="H41" s="228">
        <v>2748460</v>
      </c>
      <c r="I41" s="200">
        <f t="shared" si="0"/>
        <v>5105454.186264503</v>
      </c>
      <c r="J41" s="134"/>
      <c r="K41" s="135"/>
    </row>
    <row r="42" spans="1:11" ht="12.75" customHeight="1">
      <c r="A42" s="215" t="s">
        <v>158</v>
      </c>
      <c r="B42" s="216"/>
      <c r="C42" s="217" t="s">
        <v>157</v>
      </c>
      <c r="D42" s="296">
        <v>4206</v>
      </c>
      <c r="E42" s="228">
        <v>181042</v>
      </c>
      <c r="F42" s="228">
        <v>1808</v>
      </c>
      <c r="G42" s="228">
        <v>16868314</v>
      </c>
      <c r="H42" s="228">
        <v>62892</v>
      </c>
      <c r="I42" s="200">
        <f t="shared" si="0"/>
        <v>389459.4062674323</v>
      </c>
      <c r="J42" s="134"/>
      <c r="K42" s="135"/>
    </row>
    <row r="43" spans="1:11" ht="12.75" customHeight="1" thickBot="1">
      <c r="A43" s="220" t="s">
        <v>102</v>
      </c>
      <c r="B43" s="221"/>
      <c r="C43" s="222" t="s">
        <v>64</v>
      </c>
      <c r="D43" s="297">
        <v>63743</v>
      </c>
      <c r="E43" s="230">
        <v>-716361</v>
      </c>
      <c r="F43" s="230">
        <v>84109</v>
      </c>
      <c r="G43" s="230">
        <v>62824358</v>
      </c>
      <c r="H43" s="230">
        <v>1719222</v>
      </c>
      <c r="I43" s="205">
        <f t="shared" si="0"/>
        <v>-6507217.723217958</v>
      </c>
      <c r="J43" s="136"/>
      <c r="K43" s="137"/>
    </row>
    <row r="44" spans="1:11" s="90" customFormat="1" ht="12.75" customHeight="1" thickBot="1">
      <c r="A44" s="88"/>
      <c r="B44" s="88"/>
      <c r="C44" s="89"/>
      <c r="D44" s="138"/>
      <c r="E44" s="139"/>
      <c r="F44" s="139"/>
      <c r="G44" s="139"/>
      <c r="H44" s="139"/>
      <c r="I44" s="139"/>
      <c r="J44" s="140"/>
      <c r="K44" s="141"/>
    </row>
    <row r="45" spans="1:11" s="94" customFormat="1" ht="21" customHeight="1" thickBot="1">
      <c r="A45" s="91"/>
      <c r="B45" s="92"/>
      <c r="C45" s="93" t="s">
        <v>65</v>
      </c>
      <c r="D45" s="142">
        <f>SUM(D10:D43)-D16-D20-D24-D27-D30-D32</f>
        <v>30418029</v>
      </c>
      <c r="E45" s="142">
        <f>SUM(E10:E43)-E16-E20-E24-E27-E30-E32</f>
        <v>397219759</v>
      </c>
      <c r="F45" s="142">
        <f>SUM(F10:F43)-F16-F20-F24-F27-F30-F32</f>
        <v>67613352</v>
      </c>
      <c r="G45" s="142">
        <f>SUM(G10:G43)-G16-G20-G24-G27-G30-G32</f>
        <v>52301930391</v>
      </c>
      <c r="H45" s="142">
        <f>SUM(H10:H43)-H16-H20-H24-H27-H30-H32</f>
        <v>8527538021</v>
      </c>
      <c r="I45" s="142">
        <f t="shared" si="0"/>
        <v>3980595380.2004433</v>
      </c>
      <c r="J45" s="143"/>
      <c r="K45" s="144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318"/>
      <c r="E48" s="318"/>
      <c r="F48" s="318"/>
      <c r="G48" s="318"/>
      <c r="H48" s="318"/>
      <c r="I48" s="318"/>
      <c r="J48" s="97"/>
      <c r="K48" s="9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- 9/19/2019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115" zoomScaleNormal="115" zoomScalePageLayoutView="0" workbookViewId="0" topLeftCell="A1">
      <selection activeCell="A1" sqref="A1:G1"/>
    </sheetView>
  </sheetViews>
  <sheetFormatPr defaultColWidth="9.28125" defaultRowHeight="12.75"/>
  <cols>
    <col min="1" max="1" width="12.8515625" style="242" customWidth="1"/>
    <col min="2" max="2" width="22.00390625" style="289" customWidth="1"/>
    <col min="3" max="3" width="13.00390625" style="242" customWidth="1"/>
    <col min="4" max="4" width="5.421875" style="242" customWidth="1"/>
    <col min="5" max="5" width="13.7109375" style="267" customWidth="1"/>
    <col min="6" max="6" width="7.00390625" style="267" customWidth="1"/>
    <col min="7" max="7" width="16.28125" style="242" customWidth="1"/>
    <col min="8" max="8" width="6.00390625" style="242" customWidth="1"/>
    <col min="9" max="9" width="10.8515625" style="242" hidden="1" customWidth="1"/>
    <col min="10" max="16384" width="9.28125" style="242" customWidth="1"/>
  </cols>
  <sheetData>
    <row r="1" spans="1:7" s="236" customFormat="1" ht="69.75" customHeight="1" thickBot="1">
      <c r="A1" s="464" t="s">
        <v>195</v>
      </c>
      <c r="B1" s="464"/>
      <c r="C1" s="464"/>
      <c r="D1" s="464"/>
      <c r="E1" s="464"/>
      <c r="F1" s="464"/>
      <c r="G1" s="464"/>
    </row>
    <row r="2" spans="1:7" ht="6" customHeight="1">
      <c r="A2" s="237"/>
      <c r="B2" s="238"/>
      <c r="C2" s="239"/>
      <c r="D2" s="239"/>
      <c r="E2" s="240"/>
      <c r="F2" s="240"/>
      <c r="G2" s="241"/>
    </row>
    <row r="3" spans="1:7" s="248" customFormat="1" ht="7.5" customHeight="1">
      <c r="A3" s="243"/>
      <c r="B3" s="244"/>
      <c r="C3" s="245"/>
      <c r="D3" s="245"/>
      <c r="E3" s="246"/>
      <c r="F3" s="246"/>
      <c r="G3" s="247"/>
    </row>
    <row r="4" spans="1:7" s="248" customFormat="1" ht="17.25" customHeight="1">
      <c r="A4" s="243"/>
      <c r="B4" s="244"/>
      <c r="C4" s="249">
        <v>2017</v>
      </c>
      <c r="D4" s="249"/>
      <c r="E4" s="249">
        <v>2018</v>
      </c>
      <c r="F4" s="249"/>
      <c r="G4" s="250" t="s">
        <v>175</v>
      </c>
    </row>
    <row r="5" spans="1:9" s="248" customFormat="1" ht="26.25" customHeight="1">
      <c r="A5" s="243"/>
      <c r="B5" s="244" t="s">
        <v>0</v>
      </c>
      <c r="C5" s="251" t="s">
        <v>140</v>
      </c>
      <c r="D5" s="251"/>
      <c r="E5" s="251" t="s">
        <v>140</v>
      </c>
      <c r="F5" s="251"/>
      <c r="G5" s="252" t="s">
        <v>196</v>
      </c>
      <c r="I5" s="290" t="s">
        <v>186</v>
      </c>
    </row>
    <row r="6" spans="1:9" s="248" customFormat="1" ht="15" customHeight="1" thickBot="1">
      <c r="A6" s="253"/>
      <c r="B6" s="254"/>
      <c r="C6" s="255" t="s">
        <v>1</v>
      </c>
      <c r="D6" s="256"/>
      <c r="E6" s="255" t="s">
        <v>2</v>
      </c>
      <c r="F6" s="255"/>
      <c r="G6" s="257" t="s">
        <v>176</v>
      </c>
      <c r="I6" s="258" t="s">
        <v>189</v>
      </c>
    </row>
    <row r="7" spans="1:7" ht="8.25" customHeight="1" thickBot="1">
      <c r="A7" s="259"/>
      <c r="B7" s="260"/>
      <c r="C7" s="261"/>
      <c r="D7" s="262"/>
      <c r="E7" s="261"/>
      <c r="F7" s="262"/>
      <c r="G7" s="263"/>
    </row>
    <row r="8" spans="1:11" ht="15" customHeight="1">
      <c r="A8" s="264" t="s">
        <v>76</v>
      </c>
      <c r="B8" s="265" t="s">
        <v>41</v>
      </c>
      <c r="C8" s="266">
        <v>0.8076177689763276</v>
      </c>
      <c r="D8" s="302" t="s">
        <v>181</v>
      </c>
      <c r="E8" s="266">
        <v>0.7416759489268101</v>
      </c>
      <c r="F8" s="302" t="s">
        <v>181</v>
      </c>
      <c r="G8" s="313">
        <f>+E8-C8</f>
        <v>-0.06594182004951754</v>
      </c>
      <c r="I8" s="267">
        <f>+E8/C8-1</f>
        <v>-0.08164978852941807</v>
      </c>
      <c r="K8" s="321"/>
    </row>
    <row r="9" spans="1:11" ht="15" customHeight="1">
      <c r="A9" s="268" t="s">
        <v>77</v>
      </c>
      <c r="B9" s="269" t="s">
        <v>42</v>
      </c>
      <c r="C9" s="271">
        <v>0.8063984823238037</v>
      </c>
      <c r="D9" s="270" t="s">
        <v>181</v>
      </c>
      <c r="E9" s="271">
        <v>0.8084165436561005</v>
      </c>
      <c r="F9" s="270" t="s">
        <v>181</v>
      </c>
      <c r="G9" s="314">
        <f aca="true" t="shared" si="0" ref="G9:G43">+E9-C9</f>
        <v>0.002018061332296761</v>
      </c>
      <c r="I9" s="267">
        <f aca="true" t="shared" si="1" ref="I9:I43">+E9/C9-1</f>
        <v>0.002502560925562891</v>
      </c>
      <c r="K9" s="321"/>
    </row>
    <row r="10" spans="1:11" ht="15" customHeight="1">
      <c r="A10" s="268" t="s">
        <v>182</v>
      </c>
      <c r="B10" s="269" t="s">
        <v>183</v>
      </c>
      <c r="C10" s="271">
        <v>0.7901480490850488</v>
      </c>
      <c r="D10" s="303" t="s">
        <v>192</v>
      </c>
      <c r="E10" s="271">
        <v>1.1892905248728796</v>
      </c>
      <c r="F10" s="303" t="s">
        <v>201</v>
      </c>
      <c r="G10" s="314">
        <f t="shared" si="0"/>
        <v>0.3991424757878308</v>
      </c>
      <c r="I10" s="267">
        <f t="shared" si="1"/>
        <v>0.5051489733474852</v>
      </c>
      <c r="K10" s="321"/>
    </row>
    <row r="11" spans="1:11" ht="15" customHeight="1">
      <c r="A11" s="268" t="s">
        <v>184</v>
      </c>
      <c r="B11" s="269" t="s">
        <v>185</v>
      </c>
      <c r="C11" s="271">
        <v>0.44748360019804856</v>
      </c>
      <c r="D11" s="303" t="s">
        <v>192</v>
      </c>
      <c r="E11" s="271">
        <v>0.7218151073181298</v>
      </c>
      <c r="F11" s="303" t="s">
        <v>201</v>
      </c>
      <c r="G11" s="314">
        <f t="shared" si="0"/>
        <v>0.27433150712008125</v>
      </c>
      <c r="I11" s="267">
        <f t="shared" si="1"/>
        <v>0.6130537677775607</v>
      </c>
      <c r="K11" s="321"/>
    </row>
    <row r="12" spans="1:11" ht="15" customHeight="1">
      <c r="A12" s="268" t="s">
        <v>78</v>
      </c>
      <c r="B12" s="269" t="s">
        <v>43</v>
      </c>
      <c r="C12" s="271">
        <v>0.7433569196405139</v>
      </c>
      <c r="D12" s="270" t="s">
        <v>181</v>
      </c>
      <c r="E12" s="271">
        <v>0.8591806072941753</v>
      </c>
      <c r="F12" s="270" t="s">
        <v>181</v>
      </c>
      <c r="G12" s="314">
        <f t="shared" si="0"/>
        <v>0.11582368765366147</v>
      </c>
      <c r="I12" s="267">
        <f t="shared" si="1"/>
        <v>0.1558116761860151</v>
      </c>
      <c r="K12" s="321"/>
    </row>
    <row r="13" spans="1:11" ht="15" customHeight="1">
      <c r="A13" s="268" t="s">
        <v>79</v>
      </c>
      <c r="B13" s="269" t="s">
        <v>44</v>
      </c>
      <c r="C13" s="271">
        <v>0.5358883444800007</v>
      </c>
      <c r="D13" s="270" t="s">
        <v>181</v>
      </c>
      <c r="E13" s="271">
        <v>0.6039487298624389</v>
      </c>
      <c r="F13" s="270" t="s">
        <v>181</v>
      </c>
      <c r="G13" s="314">
        <f t="shared" si="0"/>
        <v>0.0680603853824382</v>
      </c>
      <c r="I13" s="267">
        <f t="shared" si="1"/>
        <v>0.127004787626946</v>
      </c>
      <c r="K13" s="321"/>
    </row>
    <row r="14" spans="1:11" ht="15" customHeight="1">
      <c r="A14" s="268" t="s">
        <v>142</v>
      </c>
      <c r="B14" s="269" t="s">
        <v>141</v>
      </c>
      <c r="C14" s="271">
        <v>1.8019196002102837</v>
      </c>
      <c r="D14" s="270" t="s">
        <v>181</v>
      </c>
      <c r="E14" s="271">
        <v>1.6986959373129669</v>
      </c>
      <c r="F14" s="270" t="s">
        <v>181</v>
      </c>
      <c r="G14" s="314">
        <f t="shared" si="0"/>
        <v>-0.10322366289731688</v>
      </c>
      <c r="I14" s="267">
        <f t="shared" si="1"/>
        <v>-0.057285387697248336</v>
      </c>
      <c r="K14" s="321"/>
    </row>
    <row r="15" spans="1:11" ht="15" customHeight="1">
      <c r="A15" s="268" t="s">
        <v>80</v>
      </c>
      <c r="B15" s="269" t="s">
        <v>172</v>
      </c>
      <c r="C15" s="271">
        <v>0.7859092715642045</v>
      </c>
      <c r="D15" s="270" t="s">
        <v>181</v>
      </c>
      <c r="E15" s="271">
        <v>0.7620628927884272</v>
      </c>
      <c r="F15" s="270" t="s">
        <v>181</v>
      </c>
      <c r="G15" s="314">
        <f t="shared" si="0"/>
        <v>-0.023846378775777333</v>
      </c>
      <c r="I15" s="267">
        <f t="shared" si="1"/>
        <v>-0.030342406736487026</v>
      </c>
      <c r="K15" s="321"/>
    </row>
    <row r="16" spans="1:11" ht="15" customHeight="1">
      <c r="A16" s="268" t="s">
        <v>81</v>
      </c>
      <c r="B16" s="269" t="s">
        <v>173</v>
      </c>
      <c r="C16" s="271">
        <v>3.092711561520641</v>
      </c>
      <c r="D16" s="270"/>
      <c r="E16" s="271">
        <v>2.9057761270037403</v>
      </c>
      <c r="F16" s="270"/>
      <c r="G16" s="314">
        <f t="shared" si="0"/>
        <v>-0.18693543451690076</v>
      </c>
      <c r="I16" s="267">
        <f t="shared" si="1"/>
        <v>-0.060443863192009895</v>
      </c>
      <c r="K16" s="321"/>
    </row>
    <row r="17" spans="1:11" ht="15" customHeight="1">
      <c r="A17" s="268" t="s">
        <v>85</v>
      </c>
      <c r="B17" s="269" t="s">
        <v>48</v>
      </c>
      <c r="C17" s="271">
        <v>0.34401942631759336</v>
      </c>
      <c r="D17" s="270"/>
      <c r="E17" s="271">
        <v>0.3240542517337774</v>
      </c>
      <c r="F17" s="270" t="s">
        <v>181</v>
      </c>
      <c r="G17" s="314">
        <f t="shared" si="0"/>
        <v>-0.01996517458381597</v>
      </c>
      <c r="I17" s="267">
        <f t="shared" si="1"/>
        <v>-0.05803502086357304</v>
      </c>
      <c r="K17" s="321"/>
    </row>
    <row r="18" spans="1:11" ht="15" customHeight="1">
      <c r="A18" s="268" t="s">
        <v>87</v>
      </c>
      <c r="B18" s="269" t="s">
        <v>159</v>
      </c>
      <c r="C18" s="271">
        <v>3.0883660673226188</v>
      </c>
      <c r="D18" s="270"/>
      <c r="E18" s="271">
        <v>3.1608998662777594</v>
      </c>
      <c r="F18" s="270" t="s">
        <v>181</v>
      </c>
      <c r="G18" s="314">
        <f t="shared" si="0"/>
        <v>0.07253379895514067</v>
      </c>
      <c r="I18" s="267">
        <f t="shared" si="1"/>
        <v>0.02348614036483765</v>
      </c>
      <c r="K18" s="321"/>
    </row>
    <row r="19" spans="1:11" ht="15" customHeight="1">
      <c r="A19" s="268" t="s">
        <v>135</v>
      </c>
      <c r="B19" s="269" t="s">
        <v>167</v>
      </c>
      <c r="C19" s="271">
        <v>4.8273259668652955</v>
      </c>
      <c r="D19" s="270" t="s">
        <v>181</v>
      </c>
      <c r="E19" s="271">
        <v>5.218747717440571</v>
      </c>
      <c r="F19" s="270" t="s">
        <v>181</v>
      </c>
      <c r="G19" s="314">
        <f t="shared" si="0"/>
        <v>0.39142175057527595</v>
      </c>
      <c r="I19" s="267">
        <f t="shared" si="1"/>
        <v>0.08108459077799801</v>
      </c>
      <c r="K19" s="321"/>
    </row>
    <row r="20" spans="1:11" ht="15" customHeight="1">
      <c r="A20" s="268" t="s">
        <v>136</v>
      </c>
      <c r="B20" s="269" t="s">
        <v>177</v>
      </c>
      <c r="C20" s="271">
        <v>2.4783958921112053</v>
      </c>
      <c r="D20" s="270"/>
      <c r="E20" s="271">
        <v>2.5332965099909677</v>
      </c>
      <c r="F20" s="270" t="s">
        <v>181</v>
      </c>
      <c r="G20" s="314">
        <f t="shared" si="0"/>
        <v>0.054900617879762414</v>
      </c>
      <c r="I20" s="267">
        <f t="shared" si="1"/>
        <v>0.022151674014031508</v>
      </c>
      <c r="K20" s="321"/>
    </row>
    <row r="21" spans="1:11" ht="15" customHeight="1">
      <c r="A21" s="268" t="s">
        <v>88</v>
      </c>
      <c r="B21" s="269" t="s">
        <v>166</v>
      </c>
      <c r="C21" s="271">
        <v>1</v>
      </c>
      <c r="D21" s="270"/>
      <c r="E21" s="271">
        <v>1</v>
      </c>
      <c r="F21" s="270"/>
      <c r="G21" s="314">
        <f t="shared" si="0"/>
        <v>0</v>
      </c>
      <c r="I21" s="267">
        <f t="shared" si="1"/>
        <v>0</v>
      </c>
      <c r="K21" s="321"/>
    </row>
    <row r="22" spans="1:11" ht="15" customHeight="1">
      <c r="A22" s="268" t="s">
        <v>89</v>
      </c>
      <c r="B22" s="269" t="s">
        <v>52</v>
      </c>
      <c r="C22" s="271">
        <v>3.054145515860644</v>
      </c>
      <c r="D22" s="270"/>
      <c r="E22" s="271">
        <v>3.1203375800365825</v>
      </c>
      <c r="F22" s="270"/>
      <c r="G22" s="314">
        <f t="shared" si="0"/>
        <v>0.06619206417593837</v>
      </c>
      <c r="I22" s="267">
        <f t="shared" si="1"/>
        <v>0.02167285868737845</v>
      </c>
      <c r="K22" s="321"/>
    </row>
    <row r="23" spans="1:11" ht="15" customHeight="1">
      <c r="A23" s="268" t="s">
        <v>137</v>
      </c>
      <c r="B23" s="269" t="s">
        <v>168</v>
      </c>
      <c r="C23" s="271">
        <v>4.1287814562378635</v>
      </c>
      <c r="D23" s="270" t="s">
        <v>181</v>
      </c>
      <c r="E23" s="271">
        <v>3.6948088609538146</v>
      </c>
      <c r="F23" s="270" t="s">
        <v>181</v>
      </c>
      <c r="G23" s="314">
        <f t="shared" si="0"/>
        <v>-0.43397259528404897</v>
      </c>
      <c r="I23" s="267">
        <f t="shared" si="1"/>
        <v>-0.10510912236064052</v>
      </c>
      <c r="K23" s="321"/>
    </row>
    <row r="24" spans="1:11" ht="15" customHeight="1">
      <c r="A24" s="268" t="s">
        <v>160</v>
      </c>
      <c r="B24" s="269" t="s">
        <v>169</v>
      </c>
      <c r="C24" s="271">
        <v>2.8990784018313556</v>
      </c>
      <c r="D24" s="270" t="s">
        <v>181</v>
      </c>
      <c r="E24" s="271">
        <v>2.8616814728760755</v>
      </c>
      <c r="F24" s="270" t="s">
        <v>181</v>
      </c>
      <c r="G24" s="314">
        <f t="shared" si="0"/>
        <v>-0.03739692895528002</v>
      </c>
      <c r="I24" s="267">
        <f t="shared" si="1"/>
        <v>-0.012899592136472182</v>
      </c>
      <c r="K24" s="321"/>
    </row>
    <row r="25" spans="1:11" ht="15" customHeight="1">
      <c r="A25" s="268" t="s">
        <v>90</v>
      </c>
      <c r="B25" s="269" t="s">
        <v>53</v>
      </c>
      <c r="C25" s="271">
        <v>5.531741851938036</v>
      </c>
      <c r="D25" s="270"/>
      <c r="E25" s="271">
        <v>5.024443276780424</v>
      </c>
      <c r="F25" s="270" t="s">
        <v>181</v>
      </c>
      <c r="G25" s="314">
        <f t="shared" si="0"/>
        <v>-0.5072985751576118</v>
      </c>
      <c r="I25" s="267">
        <f t="shared" si="1"/>
        <v>-0.09170684184763256</v>
      </c>
      <c r="K25" s="321"/>
    </row>
    <row r="26" spans="1:11" ht="15" customHeight="1">
      <c r="A26" s="268" t="s">
        <v>138</v>
      </c>
      <c r="B26" s="269" t="s">
        <v>170</v>
      </c>
      <c r="C26" s="271">
        <v>5.587909353997406</v>
      </c>
      <c r="D26" s="270"/>
      <c r="E26" s="271">
        <v>5.260662593370996</v>
      </c>
      <c r="F26" s="270" t="s">
        <v>181</v>
      </c>
      <c r="G26" s="314">
        <f t="shared" si="0"/>
        <v>-0.32724676062641045</v>
      </c>
      <c r="I26" s="267">
        <f t="shared" si="1"/>
        <v>-0.05856336241251103</v>
      </c>
      <c r="K26" s="321"/>
    </row>
    <row r="27" spans="1:11" ht="15" customHeight="1">
      <c r="A27" s="268" t="s">
        <v>139</v>
      </c>
      <c r="B27" s="269" t="s">
        <v>171</v>
      </c>
      <c r="C27" s="271">
        <v>3.7961276167650047</v>
      </c>
      <c r="D27" s="270" t="s">
        <v>181</v>
      </c>
      <c r="E27" s="271">
        <v>3.6268277895564056</v>
      </c>
      <c r="F27" s="270" t="s">
        <v>181</v>
      </c>
      <c r="G27" s="314">
        <f t="shared" si="0"/>
        <v>-0.16929982720859904</v>
      </c>
      <c r="I27" s="267">
        <f t="shared" si="1"/>
        <v>-0.04459803365432524</v>
      </c>
      <c r="K27" s="321"/>
    </row>
    <row r="28" spans="1:11" ht="15" customHeight="1">
      <c r="A28" s="268" t="s">
        <v>178</v>
      </c>
      <c r="B28" s="269" t="s">
        <v>155</v>
      </c>
      <c r="C28" s="271">
        <v>0.6822030904235077</v>
      </c>
      <c r="D28" s="270"/>
      <c r="E28" s="271">
        <v>0.681570599407993</v>
      </c>
      <c r="F28" s="270"/>
      <c r="G28" s="314">
        <f t="shared" si="0"/>
        <v>-0.0006324910155146579</v>
      </c>
      <c r="I28" s="267">
        <f t="shared" si="1"/>
        <v>-0.0009271300942392813</v>
      </c>
      <c r="K28" s="321"/>
    </row>
    <row r="29" spans="1:11" ht="15" customHeight="1">
      <c r="A29" s="268" t="s">
        <v>91</v>
      </c>
      <c r="B29" s="269" t="s">
        <v>54</v>
      </c>
      <c r="C29" s="271">
        <v>1.0752778914388792</v>
      </c>
      <c r="D29" s="270"/>
      <c r="E29" s="271">
        <v>1.0680252134170038</v>
      </c>
      <c r="F29" s="270"/>
      <c r="G29" s="314">
        <f t="shared" si="0"/>
        <v>-0.007252678021875347</v>
      </c>
      <c r="I29" s="267">
        <f t="shared" si="1"/>
        <v>-0.006744933639591721</v>
      </c>
      <c r="K29" s="321"/>
    </row>
    <row r="30" spans="1:11" ht="15" customHeight="1">
      <c r="A30" s="268" t="s">
        <v>179</v>
      </c>
      <c r="B30" s="269" t="s">
        <v>156</v>
      </c>
      <c r="C30" s="271">
        <v>1.395178261361226</v>
      </c>
      <c r="D30" s="270"/>
      <c r="E30" s="271">
        <v>1.4040641763884978</v>
      </c>
      <c r="F30" s="270"/>
      <c r="G30" s="314">
        <f t="shared" si="0"/>
        <v>0.008885915027271762</v>
      </c>
      <c r="I30" s="267">
        <f t="shared" si="1"/>
        <v>0.0063690176899704465</v>
      </c>
      <c r="K30" s="321"/>
    </row>
    <row r="31" spans="1:11" ht="15" customHeight="1">
      <c r="A31" s="268" t="s">
        <v>92</v>
      </c>
      <c r="B31" s="269" t="s">
        <v>55</v>
      </c>
      <c r="C31" s="271">
        <v>1.6396910689564728</v>
      </c>
      <c r="D31" s="270"/>
      <c r="E31" s="271">
        <v>1.6422829720695162</v>
      </c>
      <c r="F31" s="270"/>
      <c r="G31" s="314">
        <f t="shared" si="0"/>
        <v>0.00259190311304347</v>
      </c>
      <c r="I31" s="267">
        <f t="shared" si="1"/>
        <v>0.0015807264930052245</v>
      </c>
      <c r="K31" s="321"/>
    </row>
    <row r="32" spans="1:11" ht="15" customHeight="1">
      <c r="A32" s="268" t="s">
        <v>93</v>
      </c>
      <c r="B32" s="269" t="s">
        <v>56</v>
      </c>
      <c r="C32" s="271">
        <v>0.07093926628428017</v>
      </c>
      <c r="D32" s="270"/>
      <c r="E32" s="271">
        <v>0.07078858682881574</v>
      </c>
      <c r="F32" s="270"/>
      <c r="G32" s="314">
        <f t="shared" si="0"/>
        <v>-0.00015067945546443084</v>
      </c>
      <c r="I32" s="267">
        <f t="shared" si="1"/>
        <v>-0.0021240627843626125</v>
      </c>
      <c r="K32" s="321"/>
    </row>
    <row r="33" spans="1:11" ht="15" customHeight="1">
      <c r="A33" s="268" t="s">
        <v>94</v>
      </c>
      <c r="B33" s="269" t="s">
        <v>57</v>
      </c>
      <c r="C33" s="271">
        <v>0.2604929094781904</v>
      </c>
      <c r="D33" s="270"/>
      <c r="E33" s="271">
        <v>0.27477699590002047</v>
      </c>
      <c r="F33" s="270" t="s">
        <v>181</v>
      </c>
      <c r="G33" s="314">
        <f t="shared" si="0"/>
        <v>0.014284086421830045</v>
      </c>
      <c r="I33" s="267">
        <f t="shared" si="1"/>
        <v>0.05483483773298614</v>
      </c>
      <c r="K33" s="321"/>
    </row>
    <row r="34" spans="1:11" ht="15" customHeight="1">
      <c r="A34" s="268" t="s">
        <v>95</v>
      </c>
      <c r="B34" s="269" t="s">
        <v>58</v>
      </c>
      <c r="C34" s="271">
        <v>2.052644998189104</v>
      </c>
      <c r="D34" s="270" t="s">
        <v>181</v>
      </c>
      <c r="E34" s="271">
        <v>1.9293803020787257</v>
      </c>
      <c r="F34" s="270" t="s">
        <v>181</v>
      </c>
      <c r="G34" s="314">
        <f t="shared" si="0"/>
        <v>-0.12326469611037849</v>
      </c>
      <c r="I34" s="267">
        <f t="shared" si="1"/>
        <v>-0.060051638846038036</v>
      </c>
      <c r="K34" s="321"/>
    </row>
    <row r="35" spans="1:11" ht="15" customHeight="1">
      <c r="A35" s="268" t="s">
        <v>96</v>
      </c>
      <c r="B35" s="269" t="s">
        <v>59</v>
      </c>
      <c r="C35" s="271">
        <v>2.3763772008266004</v>
      </c>
      <c r="D35" s="270"/>
      <c r="E35" s="271">
        <v>2.4596639897362227</v>
      </c>
      <c r="F35" s="270" t="s">
        <v>181</v>
      </c>
      <c r="G35" s="314">
        <f t="shared" si="0"/>
        <v>0.08328678890962227</v>
      </c>
      <c r="I35" s="267">
        <f t="shared" si="1"/>
        <v>0.03504779833801286</v>
      </c>
      <c r="K35" s="321"/>
    </row>
    <row r="36" spans="1:11" ht="15" customHeight="1">
      <c r="A36" s="268" t="s">
        <v>97</v>
      </c>
      <c r="B36" s="269" t="s">
        <v>60</v>
      </c>
      <c r="C36" s="271">
        <v>4.020792478536793</v>
      </c>
      <c r="D36" s="270" t="s">
        <v>181</v>
      </c>
      <c r="E36" s="271">
        <v>4.457099229939438</v>
      </c>
      <c r="F36" s="303" t="s">
        <v>201</v>
      </c>
      <c r="G36" s="314">
        <f t="shared" si="0"/>
        <v>0.4363067514026451</v>
      </c>
      <c r="I36" s="267">
        <f t="shared" si="1"/>
        <v>0.108512626237657</v>
      </c>
      <c r="K36" s="321"/>
    </row>
    <row r="37" spans="1:11" ht="15" customHeight="1">
      <c r="A37" s="268" t="s">
        <v>98</v>
      </c>
      <c r="B37" s="269" t="s">
        <v>165</v>
      </c>
      <c r="C37" s="271">
        <v>0.6185742705496694</v>
      </c>
      <c r="D37" s="270" t="s">
        <v>181</v>
      </c>
      <c r="E37" s="271">
        <v>0.6185742705496694</v>
      </c>
      <c r="F37" s="270" t="s">
        <v>181</v>
      </c>
      <c r="G37" s="314">
        <f t="shared" si="0"/>
        <v>0</v>
      </c>
      <c r="I37" s="267">
        <f t="shared" si="1"/>
        <v>0</v>
      </c>
      <c r="K37" s="321"/>
    </row>
    <row r="38" spans="1:11" ht="15" customHeight="1">
      <c r="A38" s="268" t="s">
        <v>99</v>
      </c>
      <c r="B38" s="269" t="s">
        <v>62</v>
      </c>
      <c r="C38" s="271">
        <v>1.1763263391665146</v>
      </c>
      <c r="D38" s="270" t="s">
        <v>181</v>
      </c>
      <c r="E38" s="271">
        <v>1.2541489811246147</v>
      </c>
      <c r="F38" s="270" t="s">
        <v>202</v>
      </c>
      <c r="G38" s="314">
        <f t="shared" si="0"/>
        <v>0.07782264195810007</v>
      </c>
      <c r="I38" s="267">
        <f t="shared" si="1"/>
        <v>0.06615735733099481</v>
      </c>
      <c r="K38" s="321"/>
    </row>
    <row r="39" spans="1:11" ht="15" customHeight="1">
      <c r="A39" s="268" t="s">
        <v>100</v>
      </c>
      <c r="B39" s="269" t="s">
        <v>63</v>
      </c>
      <c r="C39" s="271">
        <v>1.0589720787412982</v>
      </c>
      <c r="D39" s="270" t="s">
        <v>181</v>
      </c>
      <c r="E39" s="271">
        <v>0.879908055183585</v>
      </c>
      <c r="F39" s="270" t="s">
        <v>181</v>
      </c>
      <c r="G39" s="314">
        <f t="shared" si="0"/>
        <v>-0.17906402355771323</v>
      </c>
      <c r="I39" s="267">
        <f t="shared" si="1"/>
        <v>-0.1690922991761501</v>
      </c>
      <c r="K39" s="321"/>
    </row>
    <row r="40" spans="1:11" ht="15" customHeight="1">
      <c r="A40" s="268" t="s">
        <v>158</v>
      </c>
      <c r="B40" s="269" t="s">
        <v>157</v>
      </c>
      <c r="C40" s="271">
        <v>0.2934556865006792</v>
      </c>
      <c r="D40" s="270" t="s">
        <v>181</v>
      </c>
      <c r="E40" s="271">
        <v>0.2386061757719676</v>
      </c>
      <c r="F40" s="270" t="s">
        <v>181</v>
      </c>
      <c r="G40" s="314">
        <f t="shared" si="0"/>
        <v>-0.05484951072871161</v>
      </c>
      <c r="I40" s="267">
        <f t="shared" si="1"/>
        <v>-0.18690900620385376</v>
      </c>
      <c r="K40" s="321"/>
    </row>
    <row r="41" spans="1:11" ht="15" customHeight="1" thickBot="1">
      <c r="A41" s="272" t="s">
        <v>102</v>
      </c>
      <c r="B41" s="273" t="s">
        <v>64</v>
      </c>
      <c r="C41" s="271">
        <v>2.317617890799333</v>
      </c>
      <c r="D41" s="270" t="s">
        <v>181</v>
      </c>
      <c r="E41" s="271">
        <v>2.031219292623075</v>
      </c>
      <c r="F41" s="270" t="s">
        <v>181</v>
      </c>
      <c r="G41" s="315">
        <f t="shared" si="0"/>
        <v>-0.28639859817625757</v>
      </c>
      <c r="I41" s="267">
        <f t="shared" si="1"/>
        <v>-0.12357455442211851</v>
      </c>
      <c r="K41" s="321"/>
    </row>
    <row r="42" spans="1:9" ht="8.25" customHeight="1" thickBot="1">
      <c r="A42" s="274"/>
      <c r="B42" s="275"/>
      <c r="C42" s="276"/>
      <c r="D42" s="276"/>
      <c r="E42" s="276"/>
      <c r="F42" s="276"/>
      <c r="G42" s="316"/>
      <c r="I42" s="267"/>
    </row>
    <row r="43" spans="1:9" ht="21" customHeight="1" thickBot="1">
      <c r="A43" s="277"/>
      <c r="B43" s="278" t="s">
        <v>65</v>
      </c>
      <c r="C43" s="279">
        <v>1.0677079528976847</v>
      </c>
      <c r="D43" s="279"/>
      <c r="E43" s="279">
        <v>1.2399704413494728</v>
      </c>
      <c r="F43" s="279"/>
      <c r="G43" s="317">
        <f t="shared" si="0"/>
        <v>0.17226248845178804</v>
      </c>
      <c r="I43" s="267">
        <f t="shared" si="1"/>
        <v>0.1613385832561045</v>
      </c>
    </row>
    <row r="44" spans="1:7" ht="15" customHeight="1">
      <c r="A44" s="280"/>
      <c r="B44" s="281"/>
      <c r="C44" s="282"/>
      <c r="D44" s="282"/>
      <c r="E44" s="282"/>
      <c r="F44" s="282"/>
      <c r="G44" s="282"/>
    </row>
    <row r="45" spans="1:4" ht="12" customHeight="1">
      <c r="A45" s="283" t="s">
        <v>161</v>
      </c>
      <c r="B45" s="305" t="s">
        <v>211</v>
      </c>
      <c r="C45" s="284"/>
      <c r="D45" s="284"/>
    </row>
    <row r="46" spans="1:4" ht="12" customHeight="1">
      <c r="A46" s="285"/>
      <c r="B46" s="305" t="s">
        <v>209</v>
      </c>
      <c r="C46" s="286"/>
      <c r="D46" s="286"/>
    </row>
    <row r="47" spans="1:4" ht="12" customHeight="1">
      <c r="A47" s="287"/>
      <c r="B47" s="305" t="s">
        <v>210</v>
      </c>
      <c r="C47" s="288"/>
      <c r="D47" s="288"/>
    </row>
    <row r="48" spans="2:7" ht="12" customHeight="1">
      <c r="B48" s="462" t="s">
        <v>208</v>
      </c>
      <c r="C48" s="462"/>
      <c r="D48" s="462"/>
      <c r="E48" s="462"/>
      <c r="F48" s="462"/>
      <c r="G48" s="462"/>
    </row>
    <row r="49" spans="2:7" ht="12" customHeight="1">
      <c r="B49" s="462" t="s">
        <v>207</v>
      </c>
      <c r="C49" s="462"/>
      <c r="D49" s="462"/>
      <c r="E49" s="462"/>
      <c r="F49" s="462"/>
      <c r="G49" s="462"/>
    </row>
    <row r="50" spans="2:7" ht="12" customHeight="1">
      <c r="B50" s="462" t="s">
        <v>206</v>
      </c>
      <c r="C50" s="462"/>
      <c r="D50" s="462"/>
      <c r="E50" s="462"/>
      <c r="F50" s="462"/>
      <c r="G50" s="462"/>
    </row>
    <row r="51" spans="2:7" ht="12" customHeight="1">
      <c r="B51" s="462" t="s">
        <v>203</v>
      </c>
      <c r="C51" s="462"/>
      <c r="D51" s="462"/>
      <c r="E51" s="462"/>
      <c r="F51" s="462"/>
      <c r="G51" s="462"/>
    </row>
    <row r="52" spans="2:7" ht="12" customHeight="1">
      <c r="B52" s="462" t="s">
        <v>193</v>
      </c>
      <c r="C52" s="462"/>
      <c r="D52" s="462"/>
      <c r="E52" s="462"/>
      <c r="F52" s="462"/>
      <c r="G52" s="462"/>
    </row>
  </sheetData>
  <sheetProtection/>
  <mergeCells count="6">
    <mergeCell ref="A1:G1"/>
    <mergeCell ref="B48:G48"/>
    <mergeCell ref="B49:G49"/>
    <mergeCell ref="B50:G50"/>
    <mergeCell ref="B51:G51"/>
    <mergeCell ref="B52:G52"/>
  </mergeCells>
  <printOptions horizontalCentered="1"/>
  <pageMargins left="0" right="0" top="0.5" bottom="0.5" header="0.3" footer="0.3"/>
  <pageSetup fitToHeight="1" fitToWidth="1" horizontalDpi="600" verticalDpi="600" orientation="portrait" scale="92" r:id="rId1"/>
  <headerFooter alignWithMargins="0">
    <oddFooter>&amp;L&amp;8California Department of Insurance&amp;R&amp;8Rate Specialist Bureau  - 9/19/2019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SheetLayoutView="103"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356" customWidth="1"/>
    <col min="2" max="2" width="31.28125" style="344" customWidth="1"/>
    <col min="3" max="3" width="24.140625" style="357" bestFit="1" customWidth="1"/>
    <col min="4" max="4" width="14.8515625" style="357" customWidth="1"/>
    <col min="5" max="5" width="6.421875" style="358" customWidth="1"/>
    <col min="6" max="6" width="9.140625" style="323" customWidth="1"/>
    <col min="7" max="7" width="9.140625" style="344" hidden="1" customWidth="1"/>
    <col min="8" max="16384" width="9.140625" style="344" customWidth="1"/>
  </cols>
  <sheetData>
    <row r="1" spans="1:6" s="324" customFormat="1" ht="17.25" customHeight="1">
      <c r="A1" s="465" t="s">
        <v>212</v>
      </c>
      <c r="B1" s="465"/>
      <c r="C1" s="465"/>
      <c r="D1" s="465"/>
      <c r="E1" s="322"/>
      <c r="F1" s="323"/>
    </row>
    <row r="2" spans="1:6" s="324" customFormat="1" ht="18" customHeight="1">
      <c r="A2" s="466" t="s">
        <v>213</v>
      </c>
      <c r="B2" s="466"/>
      <c r="C2" s="466"/>
      <c r="D2" s="466"/>
      <c r="E2" s="325"/>
      <c r="F2" s="323"/>
    </row>
    <row r="3" spans="1:6" s="324" customFormat="1" ht="12.75" customHeight="1">
      <c r="A3" s="325"/>
      <c r="B3" s="325"/>
      <c r="C3" s="325"/>
      <c r="D3" s="325"/>
      <c r="E3" s="325"/>
      <c r="F3" s="323"/>
    </row>
    <row r="4" spans="1:6" s="324" customFormat="1" ht="12.75" customHeight="1">
      <c r="A4" s="325"/>
      <c r="B4" s="325"/>
      <c r="C4" s="325"/>
      <c r="D4" s="326"/>
      <c r="E4" s="325"/>
      <c r="F4" s="323"/>
    </row>
    <row r="5" spans="1:6" s="328" customFormat="1" ht="6" customHeight="1" thickBot="1">
      <c r="A5" s="327"/>
      <c r="B5" s="327"/>
      <c r="C5" s="327"/>
      <c r="D5" s="327"/>
      <c r="E5" s="327"/>
      <c r="F5" s="323"/>
    </row>
    <row r="6" spans="1:6" s="332" customFormat="1" ht="12.75" customHeight="1">
      <c r="A6" s="329"/>
      <c r="B6" s="330"/>
      <c r="C6" s="331" t="s">
        <v>34</v>
      </c>
      <c r="D6" s="467" t="s">
        <v>214</v>
      </c>
      <c r="E6" s="468"/>
      <c r="F6" s="323"/>
    </row>
    <row r="7" spans="1:7" s="337" customFormat="1" ht="12.75" customHeight="1" thickBot="1">
      <c r="A7" s="333" t="s">
        <v>215</v>
      </c>
      <c r="B7" s="334" t="s">
        <v>0</v>
      </c>
      <c r="C7" s="335" t="s">
        <v>216</v>
      </c>
      <c r="D7" s="469" t="s">
        <v>15</v>
      </c>
      <c r="E7" s="470"/>
      <c r="F7" s="323"/>
      <c r="G7" s="336" t="s">
        <v>186</v>
      </c>
    </row>
    <row r="8" spans="1:7" ht="15.75" customHeight="1">
      <c r="A8" s="338" t="s">
        <v>76</v>
      </c>
      <c r="B8" s="339" t="s">
        <v>41</v>
      </c>
      <c r="C8" s="340">
        <v>0.5054185283876897</v>
      </c>
      <c r="D8" s="341">
        <v>0.7416759489268101</v>
      </c>
      <c r="E8" s="342" t="s">
        <v>181</v>
      </c>
      <c r="G8" s="343" t="s">
        <v>163</v>
      </c>
    </row>
    <row r="9" spans="1:7" ht="12.75" customHeight="1">
      <c r="A9" s="345" t="s">
        <v>77</v>
      </c>
      <c r="B9" s="339" t="s">
        <v>42</v>
      </c>
      <c r="C9" s="340">
        <v>0.48910761716288</v>
      </c>
      <c r="D9" s="346">
        <v>0.8084165436561005</v>
      </c>
      <c r="E9" s="347" t="s">
        <v>181</v>
      </c>
      <c r="G9" s="343" t="s">
        <v>163</v>
      </c>
    </row>
    <row r="10" spans="1:7" ht="15" customHeight="1" hidden="1">
      <c r="A10" s="345" t="s">
        <v>217</v>
      </c>
      <c r="B10" s="339" t="s">
        <v>119</v>
      </c>
      <c r="C10" s="340">
        <v>0.31963290109794834</v>
      </c>
      <c r="D10" s="348"/>
      <c r="E10" s="347"/>
      <c r="G10" s="343"/>
    </row>
    <row r="11" spans="1:7" ht="15" customHeight="1" hidden="1">
      <c r="A11" s="345" t="s">
        <v>218</v>
      </c>
      <c r="B11" s="339" t="s">
        <v>120</v>
      </c>
      <c r="C11" s="340">
        <v>0.5569898136198266</v>
      </c>
      <c r="D11" s="348"/>
      <c r="E11" s="347"/>
      <c r="G11" s="343"/>
    </row>
    <row r="12" spans="1:7" ht="15" customHeight="1">
      <c r="A12" s="345" t="s">
        <v>182</v>
      </c>
      <c r="B12" s="339" t="s">
        <v>183</v>
      </c>
      <c r="C12" s="340">
        <v>0.033112631226859195</v>
      </c>
      <c r="D12" s="346">
        <v>1.1892905248728796</v>
      </c>
      <c r="E12" s="347" t="s">
        <v>201</v>
      </c>
      <c r="G12" s="343" t="s">
        <v>163</v>
      </c>
    </row>
    <row r="13" spans="1:7" ht="15" customHeight="1">
      <c r="A13" s="345" t="s">
        <v>184</v>
      </c>
      <c r="B13" s="339" t="s">
        <v>185</v>
      </c>
      <c r="C13" s="340">
        <v>0.45420757634551606</v>
      </c>
      <c r="D13" s="346">
        <v>0.7218151073181298</v>
      </c>
      <c r="E13" s="347" t="s">
        <v>201</v>
      </c>
      <c r="G13" s="343" t="s">
        <v>163</v>
      </c>
    </row>
    <row r="14" spans="1:7" ht="12.75" customHeight="1">
      <c r="A14" s="349" t="s">
        <v>78</v>
      </c>
      <c r="B14" s="339" t="s">
        <v>43</v>
      </c>
      <c r="C14" s="340">
        <v>0.4762782245947459</v>
      </c>
      <c r="D14" s="346">
        <v>0.8591806072941753</v>
      </c>
      <c r="E14" s="347" t="s">
        <v>181</v>
      </c>
      <c r="G14" s="343" t="s">
        <v>163</v>
      </c>
    </row>
    <row r="15" spans="1:7" ht="12.75" customHeight="1">
      <c r="A15" s="350" t="s">
        <v>79</v>
      </c>
      <c r="B15" s="339" t="s">
        <v>44</v>
      </c>
      <c r="C15" s="340">
        <v>0.5176985186212709</v>
      </c>
      <c r="D15" s="346">
        <v>0.6039487298624389</v>
      </c>
      <c r="E15" s="347" t="s">
        <v>181</v>
      </c>
      <c r="G15" s="343" t="s">
        <v>163</v>
      </c>
    </row>
    <row r="16" spans="1:7" ht="12.75" customHeight="1">
      <c r="A16" s="350" t="s">
        <v>142</v>
      </c>
      <c r="B16" s="339" t="s">
        <v>141</v>
      </c>
      <c r="C16" s="340">
        <v>0.48663554869763</v>
      </c>
      <c r="D16" s="346">
        <v>1.6986959373129669</v>
      </c>
      <c r="E16" s="347" t="s">
        <v>181</v>
      </c>
      <c r="G16" s="343" t="s">
        <v>163</v>
      </c>
    </row>
    <row r="17" spans="1:7" ht="12.75" customHeight="1">
      <c r="A17" s="350" t="s">
        <v>80</v>
      </c>
      <c r="B17" s="339" t="s">
        <v>219</v>
      </c>
      <c r="C17" s="340">
        <v>0.4930084824661334</v>
      </c>
      <c r="D17" s="346">
        <v>0.7620628927884272</v>
      </c>
      <c r="E17" s="347" t="s">
        <v>181</v>
      </c>
      <c r="G17" s="343" t="s">
        <v>163</v>
      </c>
    </row>
    <row r="18" spans="1:7" ht="12.75" customHeight="1">
      <c r="A18" s="350" t="s">
        <v>81</v>
      </c>
      <c r="B18" s="339" t="s">
        <v>220</v>
      </c>
      <c r="C18" s="340">
        <v>0.47620419444923145</v>
      </c>
      <c r="D18" s="346">
        <v>2.9057761270037403</v>
      </c>
      <c r="E18" s="347"/>
      <c r="G18" s="343" t="s">
        <v>163</v>
      </c>
    </row>
    <row r="19" spans="1:7" ht="15" customHeight="1" hidden="1">
      <c r="A19" s="350" t="s">
        <v>82</v>
      </c>
      <c r="B19" s="339" t="s">
        <v>47</v>
      </c>
      <c r="C19" s="340">
        <v>0.7092563437433045</v>
      </c>
      <c r="D19" s="348"/>
      <c r="E19" s="347"/>
      <c r="G19" s="343"/>
    </row>
    <row r="20" spans="1:7" ht="15" customHeight="1" hidden="1">
      <c r="A20" s="350" t="s">
        <v>83</v>
      </c>
      <c r="B20" s="339" t="s">
        <v>84</v>
      </c>
      <c r="C20" s="340">
        <v>0.36157392237084124</v>
      </c>
      <c r="D20" s="348"/>
      <c r="E20" s="347"/>
      <c r="G20" s="343"/>
    </row>
    <row r="21" spans="1:7" ht="12.75" customHeight="1">
      <c r="A21" s="350" t="s">
        <v>85</v>
      </c>
      <c r="B21" s="339" t="s">
        <v>48</v>
      </c>
      <c r="C21" s="340">
        <v>0.26094107123559906</v>
      </c>
      <c r="D21" s="346">
        <v>0.3240542517337774</v>
      </c>
      <c r="E21" s="347" t="s">
        <v>181</v>
      </c>
      <c r="G21" s="343" t="s">
        <v>163</v>
      </c>
    </row>
    <row r="22" spans="1:7" ht="15" customHeight="1" hidden="1">
      <c r="A22" s="345">
        <v>10</v>
      </c>
      <c r="B22" s="339" t="s">
        <v>49</v>
      </c>
      <c r="C22" s="340">
        <v>4.937016624155739</v>
      </c>
      <c r="D22" s="348"/>
      <c r="E22" s="347"/>
      <c r="G22" s="343"/>
    </row>
    <row r="23" spans="1:7" ht="12.75" customHeight="1">
      <c r="A23" s="345">
        <v>11</v>
      </c>
      <c r="B23" s="339" t="s">
        <v>159</v>
      </c>
      <c r="C23" s="340">
        <v>0.531187612881984</v>
      </c>
      <c r="D23" s="346">
        <v>3.1608998662777594</v>
      </c>
      <c r="E23" s="347" t="s">
        <v>181</v>
      </c>
      <c r="G23" s="343" t="s">
        <v>163</v>
      </c>
    </row>
    <row r="24" spans="1:7" ht="12.75" customHeight="1">
      <c r="A24" s="345">
        <v>11.1</v>
      </c>
      <c r="B24" s="339" t="s">
        <v>221</v>
      </c>
      <c r="C24" s="340">
        <v>0.6555559900475523</v>
      </c>
      <c r="D24" s="346">
        <v>5.218747717440571</v>
      </c>
      <c r="E24" s="347" t="s">
        <v>181</v>
      </c>
      <c r="G24" s="343" t="s">
        <v>163</v>
      </c>
    </row>
    <row r="25" spans="1:7" ht="12.75" customHeight="1">
      <c r="A25" s="345">
        <v>11.2</v>
      </c>
      <c r="B25" s="339" t="s">
        <v>222</v>
      </c>
      <c r="C25" s="340">
        <v>0.4859625730784662</v>
      </c>
      <c r="D25" s="346">
        <v>2.5332965099909677</v>
      </c>
      <c r="E25" s="347" t="s">
        <v>181</v>
      </c>
      <c r="G25" s="343" t="s">
        <v>163</v>
      </c>
    </row>
    <row r="26" spans="1:7" ht="12.75" customHeight="1">
      <c r="A26" s="345">
        <v>12</v>
      </c>
      <c r="B26" s="339" t="s">
        <v>166</v>
      </c>
      <c r="C26" s="340">
        <v>0.5005560143995935</v>
      </c>
      <c r="D26" s="346">
        <v>1</v>
      </c>
      <c r="E26" s="347"/>
      <c r="G26" s="343" t="s">
        <v>163</v>
      </c>
    </row>
    <row r="27" spans="1:7" ht="15" customHeight="1" hidden="1">
      <c r="A27" s="345">
        <v>13</v>
      </c>
      <c r="B27" s="339" t="s">
        <v>121</v>
      </c>
      <c r="C27" s="340">
        <v>1.1417861517834462</v>
      </c>
      <c r="D27" s="348"/>
      <c r="E27" s="347"/>
      <c r="G27" s="343"/>
    </row>
    <row r="28" spans="1:7" ht="15" customHeight="1" hidden="1">
      <c r="A28" s="345">
        <v>14</v>
      </c>
      <c r="B28" s="339" t="s">
        <v>122</v>
      </c>
      <c r="C28" s="340">
        <v>0.755424832839976</v>
      </c>
      <c r="D28" s="348"/>
      <c r="E28" s="347"/>
      <c r="G28" s="343"/>
    </row>
    <row r="29" spans="1:7" ht="15" customHeight="1" hidden="1">
      <c r="A29" s="345">
        <v>15.1</v>
      </c>
      <c r="B29" s="339" t="s">
        <v>123</v>
      </c>
      <c r="C29" s="340">
        <v>0.1356161616161616</v>
      </c>
      <c r="D29" s="348"/>
      <c r="E29" s="347"/>
      <c r="G29" s="343"/>
    </row>
    <row r="30" spans="1:7" ht="15" customHeight="1" hidden="1">
      <c r="A30" s="345">
        <v>15.2</v>
      </c>
      <c r="B30" s="339" t="s">
        <v>128</v>
      </c>
      <c r="C30" s="340">
        <v>60.35779398359161</v>
      </c>
      <c r="D30" s="348"/>
      <c r="E30" s="347"/>
      <c r="G30" s="343"/>
    </row>
    <row r="31" spans="1:7" ht="15" customHeight="1" hidden="1">
      <c r="A31" s="345">
        <v>15.3</v>
      </c>
      <c r="B31" s="339" t="s">
        <v>129</v>
      </c>
      <c r="C31" s="340">
        <v>50.44178401532097</v>
      </c>
      <c r="D31" s="348"/>
      <c r="E31" s="347"/>
      <c r="G31" s="343"/>
    </row>
    <row r="32" spans="1:7" ht="15" customHeight="1" hidden="1">
      <c r="A32" s="345">
        <v>15.4</v>
      </c>
      <c r="B32" s="339" t="s">
        <v>130</v>
      </c>
      <c r="C32" s="340">
        <v>0.5744124923130491</v>
      </c>
      <c r="D32" s="348"/>
      <c r="E32" s="347"/>
      <c r="G32" s="343"/>
    </row>
    <row r="33" spans="1:7" ht="15" customHeight="1" hidden="1">
      <c r="A33" s="345">
        <v>15.5</v>
      </c>
      <c r="B33" s="339" t="s">
        <v>131</v>
      </c>
      <c r="C33" s="340">
        <v>0.08169223281629441</v>
      </c>
      <c r="D33" s="348"/>
      <c r="E33" s="347"/>
      <c r="G33" s="343"/>
    </row>
    <row r="34" spans="1:7" ht="15" customHeight="1" hidden="1">
      <c r="A34" s="345">
        <v>15.6</v>
      </c>
      <c r="B34" s="339" t="s">
        <v>223</v>
      </c>
      <c r="C34" s="340">
        <v>0</v>
      </c>
      <c r="D34" s="348"/>
      <c r="E34" s="347"/>
      <c r="G34" s="343"/>
    </row>
    <row r="35" spans="1:7" ht="15" customHeight="1" hidden="1">
      <c r="A35" s="345">
        <v>15.7</v>
      </c>
      <c r="B35" s="339" t="s">
        <v>132</v>
      </c>
      <c r="C35" s="340">
        <v>0.09196620817664393</v>
      </c>
      <c r="D35" s="348"/>
      <c r="E35" s="347"/>
      <c r="G35" s="343"/>
    </row>
    <row r="36" spans="1:7" ht="15" customHeight="1" hidden="1">
      <c r="A36" s="345">
        <v>15.8</v>
      </c>
      <c r="B36" s="339" t="s">
        <v>133</v>
      </c>
      <c r="C36" s="340">
        <v>0</v>
      </c>
      <c r="D36" s="348"/>
      <c r="E36" s="347"/>
      <c r="G36" s="343"/>
    </row>
    <row r="37" spans="1:7" ht="15" customHeight="1" hidden="1">
      <c r="A37" s="345">
        <v>16</v>
      </c>
      <c r="B37" s="339" t="s">
        <v>124</v>
      </c>
      <c r="C37" s="340">
        <v>0.2716735808943254</v>
      </c>
      <c r="D37" s="348"/>
      <c r="E37" s="347"/>
      <c r="G37" s="343"/>
    </row>
    <row r="38" spans="1:7" ht="12.75" customHeight="1">
      <c r="A38" s="345">
        <v>17</v>
      </c>
      <c r="B38" s="339" t="s">
        <v>52</v>
      </c>
      <c r="C38" s="340">
        <v>0.5860828547279134</v>
      </c>
      <c r="D38" s="346">
        <v>3.1203375800365825</v>
      </c>
      <c r="E38" s="347"/>
      <c r="G38" s="343" t="s">
        <v>163</v>
      </c>
    </row>
    <row r="39" spans="1:7" ht="12.75" customHeight="1">
      <c r="A39" s="345">
        <v>17.1</v>
      </c>
      <c r="B39" s="339" t="s">
        <v>224</v>
      </c>
      <c r="C39" s="340">
        <v>0.5458754996615487</v>
      </c>
      <c r="D39" s="346">
        <v>3.6948088609538146</v>
      </c>
      <c r="E39" s="347" t="s">
        <v>181</v>
      </c>
      <c r="G39" s="343" t="s">
        <v>163</v>
      </c>
    </row>
    <row r="40" spans="1:7" ht="12.75" customHeight="1">
      <c r="A40" s="345">
        <v>17.2</v>
      </c>
      <c r="B40" s="339" t="s">
        <v>225</v>
      </c>
      <c r="C40" s="340">
        <v>0.643365898966499</v>
      </c>
      <c r="D40" s="346">
        <v>2.8616814728760755</v>
      </c>
      <c r="E40" s="347" t="s">
        <v>181</v>
      </c>
      <c r="G40" s="343" t="s">
        <v>163</v>
      </c>
    </row>
    <row r="41" spans="1:7" ht="15" customHeight="1" hidden="1">
      <c r="A41" s="345">
        <v>17.3</v>
      </c>
      <c r="B41" s="339" t="s">
        <v>226</v>
      </c>
      <c r="C41" s="340">
        <v>0.4069150585648996</v>
      </c>
      <c r="D41" s="348"/>
      <c r="E41" s="347"/>
      <c r="G41" s="343"/>
    </row>
    <row r="42" spans="1:7" ht="12.75" customHeight="1">
      <c r="A42" s="345">
        <v>18</v>
      </c>
      <c r="B42" s="339" t="s">
        <v>53</v>
      </c>
      <c r="C42" s="340">
        <v>0.4964684291175664</v>
      </c>
      <c r="D42" s="346">
        <v>5.024443276780424</v>
      </c>
      <c r="E42" s="347" t="s">
        <v>181</v>
      </c>
      <c r="G42" s="343" t="s">
        <v>163</v>
      </c>
    </row>
    <row r="43" spans="1:7" ht="12.75" customHeight="1">
      <c r="A43" s="345">
        <v>18.1</v>
      </c>
      <c r="B43" s="339" t="s">
        <v>227</v>
      </c>
      <c r="C43" s="340">
        <v>0.5033184502643928</v>
      </c>
      <c r="D43" s="346">
        <v>5.260662593370996</v>
      </c>
      <c r="E43" s="347" t="s">
        <v>181</v>
      </c>
      <c r="G43" s="343" t="s">
        <v>163</v>
      </c>
    </row>
    <row r="44" spans="1:7" ht="12.75" customHeight="1">
      <c r="A44" s="345">
        <v>18.2</v>
      </c>
      <c r="B44" s="339" t="s">
        <v>228</v>
      </c>
      <c r="C44" s="340">
        <v>0.456669937201608</v>
      </c>
      <c r="D44" s="346">
        <v>3.6268277895564056</v>
      </c>
      <c r="E44" s="347" t="s">
        <v>181</v>
      </c>
      <c r="G44" s="343" t="s">
        <v>163</v>
      </c>
    </row>
    <row r="45" spans="1:7" ht="15" customHeight="1" hidden="1">
      <c r="A45" s="345">
        <v>19.1</v>
      </c>
      <c r="B45" s="339" t="s">
        <v>126</v>
      </c>
      <c r="C45" s="340">
        <v>0.7732590936346265</v>
      </c>
      <c r="D45" s="348"/>
      <c r="E45" s="347"/>
      <c r="G45" s="343"/>
    </row>
    <row r="46" spans="1:7" ht="12.75" customHeight="1">
      <c r="A46" s="345" t="s">
        <v>178</v>
      </c>
      <c r="B46" s="339" t="s">
        <v>155</v>
      </c>
      <c r="C46" s="340">
        <v>0.3221458224081753</v>
      </c>
      <c r="D46" s="346">
        <v>0.681570599407993</v>
      </c>
      <c r="E46" s="347"/>
      <c r="G46" s="343" t="s">
        <v>163</v>
      </c>
    </row>
    <row r="47" spans="1:7" ht="12.75" customHeight="1">
      <c r="A47" s="345">
        <v>19.2</v>
      </c>
      <c r="B47" s="339" t="s">
        <v>54</v>
      </c>
      <c r="C47" s="340">
        <v>0.3188606376429931</v>
      </c>
      <c r="D47" s="346">
        <v>1.0680252134170038</v>
      </c>
      <c r="E47" s="347"/>
      <c r="G47" s="343" t="s">
        <v>163</v>
      </c>
    </row>
    <row r="48" spans="1:7" ht="15" customHeight="1" hidden="1">
      <c r="A48" s="345">
        <v>19.3</v>
      </c>
      <c r="B48" s="339" t="s">
        <v>229</v>
      </c>
      <c r="C48" s="340">
        <v>0.5855106046415388</v>
      </c>
      <c r="D48" s="348"/>
      <c r="E48" s="347"/>
      <c r="G48" s="343"/>
    </row>
    <row r="49" spans="1:7" ht="12.75" customHeight="1">
      <c r="A49" s="345" t="s">
        <v>179</v>
      </c>
      <c r="B49" s="339" t="s">
        <v>156</v>
      </c>
      <c r="C49" s="340">
        <v>0.4505736435051096</v>
      </c>
      <c r="D49" s="346">
        <v>1.4040641763884978</v>
      </c>
      <c r="E49" s="347"/>
      <c r="G49" s="343" t="s">
        <v>163</v>
      </c>
    </row>
    <row r="50" spans="1:7" ht="12.75" customHeight="1">
      <c r="A50" s="345">
        <v>19.4</v>
      </c>
      <c r="B50" s="339" t="s">
        <v>55</v>
      </c>
      <c r="C50" s="340">
        <v>0.4514998777023155</v>
      </c>
      <c r="D50" s="346">
        <v>1.6422829720695162</v>
      </c>
      <c r="E50" s="347"/>
      <c r="G50" s="343" t="s">
        <v>163</v>
      </c>
    </row>
    <row r="51" spans="1:7" ht="12.75" customHeight="1">
      <c r="A51" s="345">
        <v>21.1</v>
      </c>
      <c r="B51" s="339" t="s">
        <v>56</v>
      </c>
      <c r="C51" s="340">
        <v>0.3266079194924732</v>
      </c>
      <c r="D51" s="346">
        <v>0.07078858682881574</v>
      </c>
      <c r="E51" s="347"/>
      <c r="G51" s="343" t="s">
        <v>163</v>
      </c>
    </row>
    <row r="52" spans="1:7" ht="12.75" customHeight="1">
      <c r="A52" s="345">
        <v>21.2</v>
      </c>
      <c r="B52" s="339" t="s">
        <v>57</v>
      </c>
      <c r="C52" s="340">
        <v>0.4472061221491028</v>
      </c>
      <c r="D52" s="346">
        <v>0.27477699590002047</v>
      </c>
      <c r="E52" s="347" t="s">
        <v>181</v>
      </c>
      <c r="G52" s="343" t="s">
        <v>163</v>
      </c>
    </row>
    <row r="53" spans="1:7" ht="12.75" customHeight="1">
      <c r="A53" s="345">
        <v>22</v>
      </c>
      <c r="B53" s="339" t="s">
        <v>58</v>
      </c>
      <c r="C53" s="340">
        <v>0.4210388890912864</v>
      </c>
      <c r="D53" s="346">
        <v>1.9293803020787257</v>
      </c>
      <c r="E53" s="347" t="s">
        <v>181</v>
      </c>
      <c r="G53" s="343" t="s">
        <v>163</v>
      </c>
    </row>
    <row r="54" spans="1:7" ht="12.75" customHeight="1">
      <c r="A54" s="345">
        <v>23</v>
      </c>
      <c r="B54" s="339" t="s">
        <v>59</v>
      </c>
      <c r="C54" s="340">
        <v>0.6054962316105119</v>
      </c>
      <c r="D54" s="346">
        <v>2.4596639897362227</v>
      </c>
      <c r="E54" s="347" t="s">
        <v>181</v>
      </c>
      <c r="G54" s="343" t="s">
        <v>163</v>
      </c>
    </row>
    <row r="55" spans="1:7" ht="12.75" customHeight="1">
      <c r="A55" s="345">
        <v>24</v>
      </c>
      <c r="B55" s="339" t="s">
        <v>60</v>
      </c>
      <c r="C55" s="340">
        <v>0.5690366462504696</v>
      </c>
      <c r="D55" s="346">
        <v>4.457099229939438</v>
      </c>
      <c r="E55" s="347" t="s">
        <v>201</v>
      </c>
      <c r="G55" s="343" t="s">
        <v>163</v>
      </c>
    </row>
    <row r="56" spans="1:7" ht="12.75" customHeight="1">
      <c r="A56" s="345">
        <v>26</v>
      </c>
      <c r="B56" s="339" t="s">
        <v>165</v>
      </c>
      <c r="C56" s="340">
        <v>0.5786835430486172</v>
      </c>
      <c r="D56" s="346">
        <v>0.6185742705496694</v>
      </c>
      <c r="E56" s="347" t="s">
        <v>181</v>
      </c>
      <c r="G56" s="343" t="s">
        <v>163</v>
      </c>
    </row>
    <row r="57" spans="1:7" ht="12.75" customHeight="1">
      <c r="A57" s="345">
        <v>27</v>
      </c>
      <c r="B57" s="339" t="s">
        <v>62</v>
      </c>
      <c r="C57" s="340">
        <v>0.5395531373020181</v>
      </c>
      <c r="D57" s="346">
        <v>1.2541489811246147</v>
      </c>
      <c r="E57" s="347" t="s">
        <v>202</v>
      </c>
      <c r="G57" s="343" t="s">
        <v>163</v>
      </c>
    </row>
    <row r="58" spans="1:7" ht="12.75" customHeight="1">
      <c r="A58" s="345">
        <v>28</v>
      </c>
      <c r="B58" s="339" t="s">
        <v>63</v>
      </c>
      <c r="C58" s="340">
        <v>0.42875702004801475</v>
      </c>
      <c r="D58" s="346">
        <v>0.879908055183585</v>
      </c>
      <c r="E58" s="347" t="s">
        <v>181</v>
      </c>
      <c r="G58" s="343" t="s">
        <v>163</v>
      </c>
    </row>
    <row r="59" spans="1:7" ht="12.75" customHeight="1">
      <c r="A59" s="345">
        <v>30</v>
      </c>
      <c r="B59" s="339" t="s">
        <v>157</v>
      </c>
      <c r="C59" s="340">
        <v>1.8013459470273203</v>
      </c>
      <c r="D59" s="346">
        <v>0.2386061757719676</v>
      </c>
      <c r="E59" s="347" t="s">
        <v>181</v>
      </c>
      <c r="G59" s="343" t="s">
        <v>163</v>
      </c>
    </row>
    <row r="60" spans="1:7" ht="12.75" customHeight="1">
      <c r="A60" s="345">
        <v>34</v>
      </c>
      <c r="B60" s="339" t="s">
        <v>64</v>
      </c>
      <c r="C60" s="340">
        <v>0.3751588709816989</v>
      </c>
      <c r="D60" s="346">
        <v>2.031219292623075</v>
      </c>
      <c r="E60" s="347" t="s">
        <v>181</v>
      </c>
      <c r="G60" s="343" t="s">
        <v>163</v>
      </c>
    </row>
    <row r="61" spans="1:7" ht="15" customHeight="1" hidden="1">
      <c r="A61" s="345">
        <v>35</v>
      </c>
      <c r="B61" s="339" t="s">
        <v>65</v>
      </c>
      <c r="C61" s="340">
        <v>0.4175029188997655</v>
      </c>
      <c r="D61" s="348"/>
      <c r="E61" s="351"/>
      <c r="G61" s="343"/>
    </row>
    <row r="62" spans="1:7" ht="12.75" customHeight="1">
      <c r="A62" s="345"/>
      <c r="B62" s="339" t="s">
        <v>230</v>
      </c>
      <c r="C62" s="340">
        <v>0.4220640500350028</v>
      </c>
      <c r="D62" s="346">
        <v>1.2399704413494728</v>
      </c>
      <c r="E62" s="347"/>
      <c r="G62" s="343" t="s">
        <v>163</v>
      </c>
    </row>
    <row r="63" spans="1:7" ht="12.75" customHeight="1">
      <c r="A63" s="352"/>
      <c r="B63" s="353"/>
      <c r="C63" s="354"/>
      <c r="D63" s="354"/>
      <c r="E63" s="355"/>
      <c r="G63" s="343"/>
    </row>
    <row r="64" ht="11.25" customHeight="1"/>
    <row r="65" spans="1:6" s="364" customFormat="1" ht="12">
      <c r="A65" s="359" t="s">
        <v>161</v>
      </c>
      <c r="B65" s="360"/>
      <c r="C65" s="361"/>
      <c r="D65" s="361"/>
      <c r="E65" s="362"/>
      <c r="F65" s="363"/>
    </row>
    <row r="66" spans="1:6" ht="12" customHeight="1">
      <c r="A66" s="359" t="s">
        <v>231</v>
      </c>
      <c r="B66" s="359"/>
      <c r="C66" s="359"/>
      <c r="D66" s="359"/>
      <c r="E66" s="359"/>
      <c r="F66" s="359"/>
    </row>
    <row r="67" spans="1:6" ht="12" customHeight="1">
      <c r="A67" s="365" t="s">
        <v>232</v>
      </c>
      <c r="B67" s="365"/>
      <c r="C67" s="365"/>
      <c r="D67" s="365"/>
      <c r="E67" s="365"/>
      <c r="F67" s="365"/>
    </row>
    <row r="68" spans="1:6" ht="12" customHeight="1">
      <c r="A68" s="359" t="s">
        <v>233</v>
      </c>
      <c r="B68" s="359"/>
      <c r="C68" s="359"/>
      <c r="D68" s="359"/>
      <c r="E68" s="359"/>
      <c r="F68" s="359"/>
    </row>
    <row r="69" spans="1:6" ht="12" customHeight="1">
      <c r="A69" s="359" t="s">
        <v>234</v>
      </c>
      <c r="B69" s="359"/>
      <c r="C69" s="359"/>
      <c r="D69" s="359"/>
      <c r="E69" s="359"/>
      <c r="F69" s="359"/>
    </row>
    <row r="70" spans="1:6" ht="12" customHeight="1">
      <c r="A70" s="359" t="s">
        <v>206</v>
      </c>
      <c r="B70" s="359"/>
      <c r="C70" s="359"/>
      <c r="D70" s="359"/>
      <c r="E70" s="359"/>
      <c r="F70" s="359"/>
    </row>
    <row r="71" spans="1:6" ht="12" customHeight="1">
      <c r="A71" s="359" t="s">
        <v>203</v>
      </c>
      <c r="B71" s="359"/>
      <c r="C71" s="359"/>
      <c r="D71" s="359"/>
      <c r="E71" s="359"/>
      <c r="F71" s="359"/>
    </row>
    <row r="72" spans="1:6" ht="12" customHeight="1">
      <c r="A72" s="365" t="s">
        <v>193</v>
      </c>
      <c r="B72" s="365"/>
      <c r="C72" s="365"/>
      <c r="D72" s="365"/>
      <c r="E72" s="365"/>
      <c r="F72" s="365"/>
    </row>
  </sheetData>
  <sheetProtection/>
  <mergeCells count="4">
    <mergeCell ref="A1:D1"/>
    <mergeCell ref="A2:D2"/>
    <mergeCell ref="D6:E6"/>
    <mergeCell ref="D7:E7"/>
  </mergeCells>
  <printOptions horizontalCentered="1"/>
  <pageMargins left="1" right="0.25" top="1" bottom="0.5" header="0.3" footer="0.3"/>
  <pageSetup fitToHeight="1" fitToWidth="1" horizontalDpi="600" verticalDpi="600" orientation="portrait" r:id="rId1"/>
  <headerFooter alignWithMargins="0">
    <oddFooter>&amp;L&amp;9California Department of Insurance&amp;R&amp;9Rate Specialist Bureau - 10/3/2019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471"/>
      <c r="B1" s="471"/>
      <c r="C1" s="471"/>
      <c r="D1" s="471"/>
      <c r="E1" s="471"/>
      <c r="F1" s="471"/>
      <c r="G1" s="471"/>
      <c r="H1" s="471"/>
      <c r="I1" s="471"/>
      <c r="J1" s="471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Yen</dc:creator>
  <cp:keywords/>
  <dc:description/>
  <cp:lastModifiedBy>Choy, Carol</cp:lastModifiedBy>
  <cp:lastPrinted>2019-09-19T16:56:30Z</cp:lastPrinted>
  <dcterms:created xsi:type="dcterms:W3CDTF">2006-09-26T02:28:32Z</dcterms:created>
  <dcterms:modified xsi:type="dcterms:W3CDTF">2019-10-03T14:17:15Z</dcterms:modified>
  <cp:category/>
  <cp:version/>
  <cp:contentType/>
  <cp:contentStatus/>
</cp:coreProperties>
</file>