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32760" windowWidth="14310" windowHeight="12855" tabRatio="785" activeTab="0"/>
  </bookViews>
  <sheets>
    <sheet name="Leverage Factors" sheetId="1" r:id="rId1"/>
    <sheet name="Data Page" sheetId="2" state="hidden" r:id="rId2"/>
    <sheet name="Compare" sheetId="3" r:id="rId3"/>
  </sheets>
  <definedNames>
    <definedName name="_xlnm.Print_Area" localSheetId="2">'Compare'!$A$1:$I$58</definedName>
    <definedName name="_xlnm.Print_Area" localSheetId="1">'Data Page'!$A$1:$O$33</definedName>
    <definedName name="_xlnm.Print_Area" localSheetId="0">'Leverage Factors'!$A$1:$U$56</definedName>
  </definedNames>
  <calcPr fullCalcOnLoad="1"/>
</workbook>
</file>

<file path=xl/sharedStrings.xml><?xml version="1.0" encoding="utf-8"?>
<sst xmlns="http://schemas.openxmlformats.org/spreadsheetml/2006/main" count="248" uniqueCount="134">
  <si>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</si>
  <si>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</si>
  <si>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</si>
  <si>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</si>
  <si>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</si>
  <si>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</si>
  <si>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</si>
  <si>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</si>
  <si>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</si>
  <si>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</si>
  <si>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</si>
  <si>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</si>
  <si>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</si>
  <si>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</si>
  <si>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</si>
  <si>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Surplus</t>
  </si>
  <si>
    <t>Calculated</t>
  </si>
  <si>
    <t>Total</t>
  </si>
  <si>
    <t>% of Total</t>
  </si>
  <si>
    <t>By Line</t>
  </si>
  <si>
    <t>Two Year</t>
  </si>
  <si>
    <t>Net</t>
  </si>
  <si>
    <t>Leverage</t>
  </si>
  <si>
    <t>Unpaid</t>
  </si>
  <si>
    <t>Col. [5] /</t>
  </si>
  <si>
    <t>Col. [6] *</t>
  </si>
  <si>
    <t>Col. [11] /</t>
  </si>
  <si>
    <t>Col. [12] *</t>
  </si>
  <si>
    <t>Factor</t>
  </si>
  <si>
    <t>Premium</t>
  </si>
  <si>
    <t>Losses</t>
  </si>
  <si>
    <t>L.A.E.</t>
  </si>
  <si>
    <t>{[7]+[13]}/2</t>
  </si>
  <si>
    <t>[15]/[14]</t>
  </si>
  <si>
    <t>CMP</t>
  </si>
  <si>
    <t>P.H. Surplus</t>
  </si>
  <si>
    <t>U/E</t>
  </si>
  <si>
    <t>Prem.</t>
  </si>
  <si>
    <t>Total Col.[5]</t>
  </si>
  <si>
    <t>Total Col.[7]</t>
  </si>
  <si>
    <t>Total Col.[11]</t>
  </si>
  <si>
    <t>Total Col.[13]</t>
  </si>
  <si>
    <t>Fire</t>
  </si>
  <si>
    <t>Allied Lines</t>
  </si>
  <si>
    <t>Farmowners</t>
  </si>
  <si>
    <t>Homeowners</t>
  </si>
  <si>
    <t>Mortgage</t>
  </si>
  <si>
    <t>Ocean Marine</t>
  </si>
  <si>
    <t>Inland Marine</t>
  </si>
  <si>
    <t>Financial G.</t>
  </si>
  <si>
    <t>Med. Mal. Occ.</t>
  </si>
  <si>
    <t>Med. Mal. cm.</t>
  </si>
  <si>
    <t>Earthquake</t>
  </si>
  <si>
    <t>Group A&amp;H</t>
  </si>
  <si>
    <t>Credit A&amp;H</t>
  </si>
  <si>
    <t>Other A&amp;H</t>
  </si>
  <si>
    <t>Workers' Comp.</t>
  </si>
  <si>
    <t>O. Liab. Occ.</t>
  </si>
  <si>
    <t>O. Liab. cm.</t>
  </si>
  <si>
    <t>Products - Occ.</t>
  </si>
  <si>
    <t>Products - cm.</t>
  </si>
  <si>
    <t>PP Auto Liab.</t>
  </si>
  <si>
    <t>C. Auto Liab.</t>
  </si>
  <si>
    <t>Auto PD.</t>
  </si>
  <si>
    <t>Aircraft</t>
  </si>
  <si>
    <t>Fidelity</t>
  </si>
  <si>
    <t>Surety</t>
  </si>
  <si>
    <t>Burglary &amp; Theft</t>
  </si>
  <si>
    <t>International</t>
  </si>
  <si>
    <t>Reins. Property</t>
  </si>
  <si>
    <t>Reins. Liab.</t>
  </si>
  <si>
    <t>Reins. Finc'l.</t>
  </si>
  <si>
    <t>Agg. Write-ins.</t>
  </si>
  <si>
    <t>Credit</t>
  </si>
  <si>
    <t>Earned</t>
  </si>
  <si>
    <t>Boiler &amp; Mach.</t>
  </si>
  <si>
    <t>Average</t>
  </si>
  <si>
    <t>Calculation of Leverage Factors - [Earned Premium to Average Surplus]</t>
  </si>
  <si>
    <t>Note: EQ Levg = 1.0</t>
  </si>
  <si>
    <t>Data From AM Best Aggregates and Averages</t>
  </si>
  <si>
    <t>Exhibit of Premiums and Losses (Statutory Page 14 Data)</t>
  </si>
  <si>
    <t>Data elements in thousands ('000)</t>
  </si>
  <si>
    <t>Direct</t>
  </si>
  <si>
    <t>Written</t>
  </si>
  <si>
    <t>Unearned</t>
  </si>
  <si>
    <t>DCCE</t>
  </si>
  <si>
    <t>Line</t>
  </si>
  <si>
    <t>Premiums</t>
  </si>
  <si>
    <t>%</t>
  </si>
  <si>
    <t>CMP Non Liab (5.1)</t>
  </si>
  <si>
    <t>CMP Liab. (5.2)</t>
  </si>
  <si>
    <t>Total CMP</t>
  </si>
  <si>
    <t>Total Auto PD</t>
  </si>
  <si>
    <t>P.P. Auto PD</t>
  </si>
  <si>
    <t>Comm. Auto PD</t>
  </si>
  <si>
    <t>CMP - NL</t>
  </si>
  <si>
    <t>CMP - Liab.</t>
  </si>
  <si>
    <t>PP Auto PD</t>
  </si>
  <si>
    <t>Comm Auto PD</t>
  </si>
  <si>
    <t xml:space="preserve"> Calculated </t>
  </si>
  <si>
    <t xml:space="preserve"> Leverage </t>
  </si>
  <si>
    <t>Difference</t>
  </si>
  <si>
    <t>[2.]</t>
  </si>
  <si>
    <t>[3.]</t>
  </si>
  <si>
    <t>[4.]</t>
  </si>
  <si>
    <t>[2.] - [3.]</t>
  </si>
  <si>
    <t>Of</t>
  </si>
  <si>
    <t>Business</t>
  </si>
  <si>
    <t>Leverage Factors</t>
  </si>
  <si>
    <t>Factor:</t>
  </si>
  <si>
    <t>[1a]</t>
  </si>
  <si>
    <t>[1b]</t>
  </si>
  <si>
    <t>Number</t>
  </si>
  <si>
    <t>Name</t>
  </si>
  <si>
    <t>[1a.]</t>
  </si>
  <si>
    <t>[1b.]</t>
  </si>
  <si>
    <t>Med. Mal.</t>
  </si>
  <si>
    <t>O. Liab.</t>
  </si>
  <si>
    <t>Products</t>
  </si>
  <si>
    <t>[4.b.]</t>
  </si>
  <si>
    <t>Reserves+EP</t>
  </si>
  <si>
    <t>[2]+[3]+[4]+[4.b.]</t>
  </si>
  <si>
    <t>[8]+[9]+[10]+[10.b]</t>
  </si>
  <si>
    <t>[10.b.]</t>
  </si>
  <si>
    <t>This calculation allocates Policyholders Surplus by Reserves and Earned Premium.</t>
  </si>
  <si>
    <t>Warranty</t>
  </si>
  <si>
    <t>Excess W.C.</t>
  </si>
  <si>
    <t>copy column [2] to column [3]</t>
  </si>
  <si>
    <t>2021 Allocated Policyholders Surplus</t>
  </si>
  <si>
    <t>hide</t>
  </si>
  <si>
    <t>% change</t>
  </si>
  <si>
    <t>Comparison of 2022 vs. 2021</t>
  </si>
  <si>
    <t>Data from the 2023 edition of AM Best's Aggregates &amp; Averages [Rounded to the nearest million]</t>
  </si>
  <si>
    <t>2022 Allocated Policyholders Surplus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</si>
</sst>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??_);_(@_)"/>
    <numFmt numFmtId="169" formatCode="0.0000"/>
    <numFmt numFmtId="170" formatCode="0.0000_);[Red]\(0.0000\)"/>
    <numFmt numFmtId="171" formatCode="@*."/>
    <numFmt numFmtId="172" formatCode="#,###;\-#,###;0"/>
    <numFmt numFmtId="173" formatCode="0.0%"/>
    <numFmt numFmtId="174" formatCode="#,##0.0;\-#,##0.0;\-"/>
    <numFmt numFmtId="175" formatCode=".\ ###0_);.\ \(###0\);.#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rus BT"/>
      <family val="1"/>
    </font>
    <font>
      <b/>
      <sz val="10"/>
      <name val="Arrus BT"/>
      <family val="1"/>
    </font>
    <font>
      <sz val="8"/>
      <name val="Arrus BT"/>
      <family val="1"/>
    </font>
    <font>
      <sz val="16"/>
      <name val="Arrus BT"/>
      <family val="0"/>
    </font>
    <font>
      <b/>
      <sz val="14"/>
      <name val="Arrus BT"/>
      <family val="0"/>
    </font>
    <font>
      <b/>
      <sz val="12"/>
      <name val="Arrus BT"/>
      <family val="0"/>
    </font>
    <font>
      <b/>
      <sz val="8"/>
      <name val="Arrus BT"/>
      <family val="0"/>
    </font>
    <font>
      <sz val="7"/>
      <name val="Arrus BT"/>
      <family val="1"/>
    </font>
    <font>
      <sz val="8"/>
      <name val="Arial"/>
      <family val="2"/>
    </font>
    <font>
      <sz val="18"/>
      <name val="Arial"/>
      <family val="2"/>
    </font>
    <font>
      <sz val="10"/>
      <name val="Verdana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u val="single"/>
      <sz val="16"/>
      <name val="Arrus BT"/>
      <family val="1"/>
    </font>
    <font>
      <sz val="16"/>
      <name val="Arial"/>
      <family val="2"/>
    </font>
    <font>
      <u val="single"/>
      <sz val="12"/>
      <name val="Arial"/>
      <family val="2"/>
    </font>
    <font>
      <b/>
      <sz val="10"/>
      <name val="Verdana"/>
      <family val="2"/>
    </font>
    <font>
      <sz val="9"/>
      <name val="Arrus BT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167" fontId="5" fillId="0" borderId="0" xfId="42" applyNumberFormat="1" applyFont="1" applyAlignment="1">
      <alignment/>
    </xf>
    <xf numFmtId="167" fontId="6" fillId="0" borderId="0" xfId="42" applyNumberFormat="1" applyFont="1" applyAlignment="1">
      <alignment horizontal="right"/>
    </xf>
    <xf numFmtId="164" fontId="8" fillId="0" borderId="0" xfId="42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170" fontId="14" fillId="0" borderId="0" xfId="0" applyNumberFormat="1" applyFont="1" applyAlignment="1">
      <alignment horizontal="right"/>
    </xf>
    <xf numFmtId="0" fontId="14" fillId="0" borderId="10" xfId="0" applyFont="1" applyBorder="1" applyAlignment="1">
      <alignment horizontal="center"/>
    </xf>
    <xf numFmtId="170" fontId="14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167" fontId="4" fillId="0" borderId="0" xfId="42" applyNumberFormat="1" applyFont="1" applyFill="1" applyAlignment="1">
      <alignment/>
    </xf>
    <xf numFmtId="169" fontId="4" fillId="0" borderId="0" xfId="42" applyNumberFormat="1" applyFont="1" applyFill="1" applyAlignment="1">
      <alignment/>
    </xf>
    <xf numFmtId="169" fontId="5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67" fontId="5" fillId="0" borderId="0" xfId="42" applyNumberFormat="1" applyFont="1" applyFill="1" applyAlignment="1">
      <alignment/>
    </xf>
    <xf numFmtId="167" fontId="6" fillId="0" borderId="0" xfId="42" applyNumberFormat="1" applyFont="1" applyFill="1" applyAlignment="1">
      <alignment horizontal="right"/>
    </xf>
    <xf numFmtId="167" fontId="4" fillId="0" borderId="0" xfId="42" applyNumberFormat="1" applyFont="1" applyFill="1" applyAlignment="1">
      <alignment/>
    </xf>
    <xf numFmtId="167" fontId="4" fillId="0" borderId="0" xfId="42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67" fontId="6" fillId="0" borderId="0" xfId="42" applyNumberFormat="1" applyFont="1" applyFill="1" applyAlignment="1">
      <alignment horizontal="right"/>
    </xf>
    <xf numFmtId="167" fontId="6" fillId="0" borderId="0" xfId="42" applyNumberFormat="1" applyFont="1" applyFill="1" applyAlignment="1">
      <alignment horizontal="left"/>
    </xf>
    <xf numFmtId="167" fontId="10" fillId="0" borderId="0" xfId="42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10" fontId="14" fillId="0" borderId="0" xfId="0" applyNumberFormat="1" applyFont="1" applyFill="1" applyAlignment="1">
      <alignment horizontal="right"/>
    </xf>
    <xf numFmtId="167" fontId="21" fillId="0" borderId="0" xfId="42" applyNumberFormat="1" applyFont="1" applyFill="1" applyAlignment="1">
      <alignment/>
    </xf>
    <xf numFmtId="10" fontId="21" fillId="0" borderId="0" xfId="42" applyNumberFormat="1" applyFont="1" applyFill="1" applyAlignment="1">
      <alignment/>
    </xf>
    <xf numFmtId="167" fontId="0" fillId="0" borderId="0" xfId="42" applyNumberFormat="1" applyFont="1" applyAlignment="1">
      <alignment/>
    </xf>
    <xf numFmtId="167" fontId="6" fillId="0" borderId="11" xfId="42" applyNumberFormat="1" applyFont="1" applyFill="1" applyBorder="1" applyAlignment="1">
      <alignment horizontal="left"/>
    </xf>
    <xf numFmtId="167" fontId="6" fillId="0" borderId="11" xfId="42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right"/>
    </xf>
    <xf numFmtId="0" fontId="56" fillId="0" borderId="0" xfId="0" applyFont="1" applyAlignment="1">
      <alignment horizontal="center"/>
    </xf>
    <xf numFmtId="10" fontId="0" fillId="0" borderId="0" xfId="57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12" fillId="0" borderId="0" xfId="42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Fill="1" applyAlignment="1">
      <alignment/>
    </xf>
    <xf numFmtId="1" fontId="6" fillId="0" borderId="0" xfId="42" applyNumberFormat="1" applyFont="1" applyFill="1" applyAlignment="1" quotePrefix="1">
      <alignment horizontal="right"/>
    </xf>
    <xf numFmtId="167" fontId="11" fillId="0" borderId="11" xfId="42" applyNumberFormat="1" applyFont="1" applyFill="1" applyBorder="1" applyAlignment="1">
      <alignment horizontal="right"/>
    </xf>
    <xf numFmtId="10" fontId="21" fillId="0" borderId="0" xfId="57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tabSelected="1" zoomScaleSheetLayoutView="100" zoomScalePageLayoutView="0" workbookViewId="0" topLeftCell="A1">
      <selection activeCell="A1" sqref="A1:U1"/>
    </sheetView>
  </sheetViews>
  <sheetFormatPr defaultColWidth="9.140625" defaultRowHeight="12.75"/>
  <cols>
    <col min="1" max="1" width="7.28125" style="0" customWidth="1"/>
    <col min="2" max="2" width="14.140625" style="0" bestFit="1" customWidth="1"/>
    <col min="3" max="5" width="7.7109375" style="0" customWidth="1"/>
    <col min="6" max="6" width="8.140625" style="0" customWidth="1"/>
    <col min="7" max="7" width="11.140625" style="0" customWidth="1"/>
    <col min="8" max="8" width="9.421875" style="0" customWidth="1"/>
    <col min="9" max="9" width="9.28125" style="0" customWidth="1"/>
    <col min="10" max="10" width="1.1484375" style="0" customWidth="1"/>
    <col min="11" max="14" width="7.7109375" style="0" customWidth="1"/>
    <col min="15" max="15" width="11.7109375" style="0" customWidth="1"/>
    <col min="16" max="16" width="9.421875" style="0" customWidth="1"/>
    <col min="17" max="17" width="9.7109375" style="0" customWidth="1"/>
    <col min="18" max="18" width="1.7109375" style="0" customWidth="1"/>
    <col min="19" max="19" width="10.57421875" style="0" customWidth="1"/>
    <col min="20" max="20" width="8.140625" style="0" customWidth="1"/>
    <col min="21" max="21" width="8.8515625" style="0" customWidth="1"/>
    <col min="22" max="22" width="8.57421875" style="0" customWidth="1"/>
    <col min="23" max="24" width="9.140625" style="42" customWidth="1"/>
    <col min="25" max="26" width="9.140625" style="0" customWidth="1"/>
  </cols>
  <sheetData>
    <row r="1" spans="1:22" ht="23.25">
      <c r="A1" s="56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10"/>
    </row>
    <row r="2" spans="1:22" ht="20.25">
      <c r="A2" s="57" t="s">
        <v>132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9"/>
    </row>
    <row r="3" spans="1:22" ht="15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2"/>
    </row>
    <row r="4" spans="1:22" ht="20.25">
      <c r="A4" s="24"/>
      <c r="B4" s="25"/>
      <c r="C4" s="58" t="s">
        <v>128</v>
      </c>
      <c r="D4" s="58"/>
      <c r="E4" s="58"/>
      <c r="F4" s="58"/>
      <c r="G4" s="58"/>
      <c r="H4" s="58"/>
      <c r="I4" s="58"/>
      <c r="J4" s="25"/>
      <c r="K4" s="58" t="s">
        <v>133</v>
      </c>
      <c r="L4" s="58"/>
      <c r="M4" s="58"/>
      <c r="N4" s="58"/>
      <c r="O4" s="58"/>
      <c r="P4" s="58"/>
      <c r="Q4" s="58"/>
      <c r="R4" s="25"/>
      <c r="S4" s="25"/>
      <c r="T4" s="29"/>
      <c r="U4" s="30"/>
      <c r="V4" s="7"/>
    </row>
    <row r="5" spans="1:24" ht="12.75">
      <c r="A5" s="24"/>
      <c r="B5" s="25"/>
      <c r="W5"/>
      <c r="X5"/>
    </row>
    <row r="6" spans="1:24" ht="12.75">
      <c r="A6" s="25" t="s">
        <v>110</v>
      </c>
      <c r="B6" s="25" t="s">
        <v>111</v>
      </c>
      <c r="C6" s="31" t="s">
        <v>0</v>
      </c>
      <c r="D6" s="31" t="s">
        <v>1</v>
      </c>
      <c r="E6" s="31" t="s">
        <v>2</v>
      </c>
      <c r="F6" s="31" t="s">
        <v>119</v>
      </c>
      <c r="G6" s="31" t="s">
        <v>3</v>
      </c>
      <c r="H6" s="31" t="s">
        <v>4</v>
      </c>
      <c r="I6" s="31" t="s">
        <v>5</v>
      </c>
      <c r="J6" s="31"/>
      <c r="K6" s="31" t="s">
        <v>6</v>
      </c>
      <c r="L6" s="31" t="s">
        <v>7</v>
      </c>
      <c r="M6" s="31" t="s">
        <v>8</v>
      </c>
      <c r="N6" s="31" t="s">
        <v>123</v>
      </c>
      <c r="O6" s="31" t="s">
        <v>9</v>
      </c>
      <c r="P6" s="31" t="s">
        <v>10</v>
      </c>
      <c r="Q6" s="31" t="s">
        <v>11</v>
      </c>
      <c r="R6" s="31"/>
      <c r="S6" s="31" t="s">
        <v>12</v>
      </c>
      <c r="T6" s="31" t="s">
        <v>13</v>
      </c>
      <c r="U6" s="31" t="s">
        <v>14</v>
      </c>
      <c r="V6" s="3"/>
      <c r="W6"/>
      <c r="X6"/>
    </row>
    <row r="7" spans="1:24" ht="12.75">
      <c r="A7" s="32"/>
      <c r="B7" s="32"/>
      <c r="C7" s="33"/>
      <c r="D7" s="33"/>
      <c r="E7" s="33"/>
      <c r="F7" s="33"/>
      <c r="G7" s="33"/>
      <c r="H7" s="33"/>
      <c r="I7" s="33" t="s">
        <v>15</v>
      </c>
      <c r="J7" s="33"/>
      <c r="K7" s="33"/>
      <c r="L7" s="33"/>
      <c r="M7" s="33"/>
      <c r="N7" s="33"/>
      <c r="O7" s="33"/>
      <c r="P7" s="33"/>
      <c r="Q7" s="33" t="s">
        <v>15</v>
      </c>
      <c r="R7" s="33"/>
      <c r="S7" s="33" t="s">
        <v>20</v>
      </c>
      <c r="T7" s="53">
        <v>2022</v>
      </c>
      <c r="U7" s="33" t="s">
        <v>16</v>
      </c>
      <c r="V7" s="6"/>
      <c r="W7"/>
      <c r="X7"/>
    </row>
    <row r="8" spans="1:24" ht="12.75">
      <c r="A8" s="32"/>
      <c r="B8" s="32"/>
      <c r="C8" s="33"/>
      <c r="D8" s="33"/>
      <c r="E8" s="33"/>
      <c r="F8" s="33"/>
      <c r="G8" s="33" t="s">
        <v>17</v>
      </c>
      <c r="H8" s="33" t="s">
        <v>18</v>
      </c>
      <c r="I8" s="33" t="s">
        <v>19</v>
      </c>
      <c r="J8" s="33"/>
      <c r="K8" s="33"/>
      <c r="L8" s="33"/>
      <c r="M8" s="33"/>
      <c r="N8" s="33"/>
      <c r="O8" s="33" t="s">
        <v>17</v>
      </c>
      <c r="P8" s="33" t="s">
        <v>18</v>
      </c>
      <c r="Q8" s="33" t="s">
        <v>19</v>
      </c>
      <c r="R8" s="33"/>
      <c r="S8" s="33" t="s">
        <v>76</v>
      </c>
      <c r="T8" s="33" t="s">
        <v>21</v>
      </c>
      <c r="U8" s="33" t="s">
        <v>22</v>
      </c>
      <c r="V8" s="6"/>
      <c r="W8"/>
      <c r="X8"/>
    </row>
    <row r="9" spans="1:24" ht="12.75">
      <c r="A9" s="34" t="s">
        <v>86</v>
      </c>
      <c r="B9" s="34" t="s">
        <v>86</v>
      </c>
      <c r="C9" s="33" t="s">
        <v>36</v>
      </c>
      <c r="D9" s="33" t="s">
        <v>23</v>
      </c>
      <c r="E9" s="33" t="s">
        <v>23</v>
      </c>
      <c r="F9" s="33" t="s">
        <v>74</v>
      </c>
      <c r="G9" s="33" t="s">
        <v>120</v>
      </c>
      <c r="H9" s="33" t="s">
        <v>24</v>
      </c>
      <c r="I9" s="33" t="s">
        <v>25</v>
      </c>
      <c r="J9" s="33"/>
      <c r="K9" s="33" t="s">
        <v>36</v>
      </c>
      <c r="L9" s="33" t="s">
        <v>23</v>
      </c>
      <c r="M9" s="33" t="s">
        <v>23</v>
      </c>
      <c r="N9" s="33" t="s">
        <v>74</v>
      </c>
      <c r="O9" s="33" t="s">
        <v>120</v>
      </c>
      <c r="P9" s="33" t="s">
        <v>26</v>
      </c>
      <c r="Q9" s="33" t="s">
        <v>27</v>
      </c>
      <c r="R9" s="33"/>
      <c r="S9" s="33" t="s">
        <v>15</v>
      </c>
      <c r="T9" s="35" t="s">
        <v>74</v>
      </c>
      <c r="U9" s="33" t="s">
        <v>28</v>
      </c>
      <c r="V9" s="6"/>
      <c r="W9"/>
      <c r="X9"/>
    </row>
    <row r="10" spans="1:24" ht="13.5" thickBot="1">
      <c r="A10" s="43" t="s">
        <v>112</v>
      </c>
      <c r="B10" s="43" t="s">
        <v>113</v>
      </c>
      <c r="C10" s="44" t="s">
        <v>37</v>
      </c>
      <c r="D10" s="44" t="s">
        <v>30</v>
      </c>
      <c r="E10" s="44" t="s">
        <v>31</v>
      </c>
      <c r="F10" s="44" t="s">
        <v>29</v>
      </c>
      <c r="G10" s="54" t="s">
        <v>121</v>
      </c>
      <c r="H10" s="54" t="s">
        <v>38</v>
      </c>
      <c r="I10" s="54" t="s">
        <v>39</v>
      </c>
      <c r="J10" s="44"/>
      <c r="K10" s="44" t="s">
        <v>37</v>
      </c>
      <c r="L10" s="44" t="s">
        <v>30</v>
      </c>
      <c r="M10" s="44" t="s">
        <v>31</v>
      </c>
      <c r="N10" s="44" t="s">
        <v>29</v>
      </c>
      <c r="O10" s="54" t="s">
        <v>122</v>
      </c>
      <c r="P10" s="54" t="s">
        <v>40</v>
      </c>
      <c r="Q10" s="54" t="s">
        <v>41</v>
      </c>
      <c r="R10" s="44"/>
      <c r="S10" s="44" t="s">
        <v>32</v>
      </c>
      <c r="T10" s="44" t="s">
        <v>29</v>
      </c>
      <c r="U10" s="44" t="s">
        <v>33</v>
      </c>
      <c r="V10" s="6"/>
      <c r="W10"/>
      <c r="X10"/>
    </row>
    <row r="11" spans="1:24" ht="12.75">
      <c r="A11" s="20">
        <v>1</v>
      </c>
      <c r="B11" s="20" t="s">
        <v>42</v>
      </c>
      <c r="C11" s="40">
        <v>8424.01</v>
      </c>
      <c r="D11" s="40">
        <v>9834.34</v>
      </c>
      <c r="E11" s="40">
        <v>767.774</v>
      </c>
      <c r="F11" s="40">
        <v>14533.426</v>
      </c>
      <c r="G11" s="40">
        <f>+C11+D11+E11+F11</f>
        <v>33559.55</v>
      </c>
      <c r="H11" s="41">
        <f aca="true" t="shared" si="0" ref="H11:H53">G11/$G$54</f>
        <v>0.018851689629942842</v>
      </c>
      <c r="I11" s="40">
        <f aca="true" t="shared" si="1" ref="I11:I53">H11*$I$56</f>
        <v>20232.102190079135</v>
      </c>
      <c r="J11" s="40"/>
      <c r="K11" s="40">
        <v>9382.576</v>
      </c>
      <c r="L11" s="40">
        <v>10237.461</v>
      </c>
      <c r="M11" s="40">
        <v>853.758</v>
      </c>
      <c r="N11" s="40">
        <f>T11</f>
        <v>15601.933</v>
      </c>
      <c r="O11" s="40">
        <f>+K11+L11+M11+N11</f>
        <v>36075.728</v>
      </c>
      <c r="P11" s="41">
        <f aca="true" t="shared" si="2" ref="P11:P54">O11/$O$54</f>
        <v>0.018856747517177197</v>
      </c>
      <c r="Q11" s="40">
        <f aca="true" t="shared" si="3" ref="Q11:Q54">P11*$Q$56</f>
        <v>18894.082972137327</v>
      </c>
      <c r="R11" s="40"/>
      <c r="S11" s="40">
        <f aca="true" t="shared" si="4" ref="S11:S53">(I11+Q11)/2</f>
        <v>19563.09258110823</v>
      </c>
      <c r="T11" s="40">
        <v>15601.933</v>
      </c>
      <c r="U11" s="22">
        <f aca="true" t="shared" si="5" ref="U11:U54">T11/S11</f>
        <v>0.7975187427710965</v>
      </c>
      <c r="V11" s="6"/>
      <c r="W11"/>
      <c r="X11"/>
    </row>
    <row r="12" spans="1:24" ht="12.75">
      <c r="A12" s="20">
        <v>2</v>
      </c>
      <c r="B12" s="20" t="s">
        <v>43</v>
      </c>
      <c r="C12" s="40">
        <v>9355.651</v>
      </c>
      <c r="D12" s="40">
        <v>11826.573</v>
      </c>
      <c r="E12" s="40">
        <v>931.49</v>
      </c>
      <c r="F12" s="40">
        <v>22619.673</v>
      </c>
      <c r="G12" s="40">
        <f>+C12+D12+E12+F12</f>
        <v>44733.387</v>
      </c>
      <c r="H12" s="41">
        <f t="shared" si="0"/>
        <v>0.025128463516945847</v>
      </c>
      <c r="I12" s="40">
        <f t="shared" si="1"/>
        <v>26968.492041530877</v>
      </c>
      <c r="J12" s="40"/>
      <c r="K12" s="40">
        <v>11089.129</v>
      </c>
      <c r="L12" s="40">
        <v>14163.6</v>
      </c>
      <c r="M12" s="40">
        <v>1256.143</v>
      </c>
      <c r="N12" s="40">
        <f aca="true" t="shared" si="6" ref="N12:N53">T12</f>
        <v>26776.501</v>
      </c>
      <c r="O12" s="40">
        <f>+K12+L12+M12+N12</f>
        <v>53285.373</v>
      </c>
      <c r="P12" s="41">
        <f t="shared" si="2"/>
        <v>0.02785221201966072</v>
      </c>
      <c r="Q12" s="40">
        <f t="shared" si="3"/>
        <v>27907.35806255347</v>
      </c>
      <c r="R12" s="40"/>
      <c r="S12" s="40">
        <f t="shared" si="4"/>
        <v>27437.925052042174</v>
      </c>
      <c r="T12" s="40">
        <v>26776.501</v>
      </c>
      <c r="U12" s="22">
        <f t="shared" si="5"/>
        <v>0.9758938020718536</v>
      </c>
      <c r="V12" s="6"/>
      <c r="W12"/>
      <c r="X12"/>
    </row>
    <row r="13" spans="1:24" ht="12.75">
      <c r="A13" s="20">
        <v>3</v>
      </c>
      <c r="B13" s="20" t="s">
        <v>44</v>
      </c>
      <c r="C13" s="40">
        <v>2422.195</v>
      </c>
      <c r="D13" s="40">
        <v>1577.095</v>
      </c>
      <c r="E13" s="40">
        <v>272.208</v>
      </c>
      <c r="F13" s="40">
        <v>5192.367</v>
      </c>
      <c r="G13" s="40">
        <f aca="true" t="shared" si="7" ref="G13:G53">+C13+D13+E13+F13</f>
        <v>9463.865</v>
      </c>
      <c r="H13" s="41">
        <f t="shared" si="0"/>
        <v>0.005316216864638501</v>
      </c>
      <c r="I13" s="40">
        <f t="shared" si="1"/>
        <v>5705.496164075897</v>
      </c>
      <c r="J13" s="40"/>
      <c r="K13" s="40">
        <v>2649.467</v>
      </c>
      <c r="L13" s="40">
        <v>1632.697</v>
      </c>
      <c r="M13" s="40">
        <v>241.931</v>
      </c>
      <c r="N13" s="40">
        <f t="shared" si="6"/>
        <v>5415.018</v>
      </c>
      <c r="O13" s="40">
        <f aca="true" t="shared" si="8" ref="O13:O53">+K13+L13+M13+N13</f>
        <v>9939.113</v>
      </c>
      <c r="P13" s="41">
        <f t="shared" si="2"/>
        <v>0.005195164582283512</v>
      </c>
      <c r="Q13" s="40">
        <f t="shared" si="3"/>
        <v>5205.450758788534</v>
      </c>
      <c r="R13" s="40"/>
      <c r="S13" s="40">
        <f t="shared" si="4"/>
        <v>5455.473461432215</v>
      </c>
      <c r="T13" s="40">
        <v>5415.018</v>
      </c>
      <c r="U13" s="22">
        <f t="shared" si="5"/>
        <v>0.9925844270496013</v>
      </c>
      <c r="V13" s="6"/>
      <c r="W13"/>
      <c r="X13"/>
    </row>
    <row r="14" spans="1:24" ht="12.75">
      <c r="A14" s="20">
        <v>4</v>
      </c>
      <c r="B14" s="20" t="s">
        <v>45</v>
      </c>
      <c r="C14" s="40">
        <v>57607.736</v>
      </c>
      <c r="D14" s="40">
        <v>31051.848</v>
      </c>
      <c r="E14" s="40">
        <v>6283.001</v>
      </c>
      <c r="F14" s="40">
        <v>99695.547</v>
      </c>
      <c r="G14" s="40">
        <f t="shared" si="7"/>
        <v>194638.132</v>
      </c>
      <c r="H14" s="41">
        <f t="shared" si="0"/>
        <v>0.10933572275599185</v>
      </c>
      <c r="I14" s="40">
        <f t="shared" si="1"/>
        <v>117341.81705982683</v>
      </c>
      <c r="J14" s="40"/>
      <c r="K14" s="40">
        <v>63823.919</v>
      </c>
      <c r="L14" s="40">
        <v>37164.778</v>
      </c>
      <c r="M14" s="40">
        <v>7144.361</v>
      </c>
      <c r="N14" s="40">
        <f t="shared" si="6"/>
        <v>109686.715</v>
      </c>
      <c r="O14" s="40">
        <f t="shared" si="8"/>
        <v>217819.773</v>
      </c>
      <c r="P14" s="41">
        <f t="shared" si="2"/>
        <v>0.11385418095262971</v>
      </c>
      <c r="Q14" s="40">
        <f t="shared" si="3"/>
        <v>114079.60676591523</v>
      </c>
      <c r="R14" s="40"/>
      <c r="S14" s="40">
        <f t="shared" si="4"/>
        <v>115710.71191287103</v>
      </c>
      <c r="T14" s="40">
        <v>109686.715</v>
      </c>
      <c r="U14" s="22">
        <f t="shared" si="5"/>
        <v>0.9479391595360069</v>
      </c>
      <c r="V14" s="6"/>
      <c r="W14"/>
      <c r="X14"/>
    </row>
    <row r="15" spans="1:24" ht="12.75">
      <c r="A15" s="20">
        <v>5.1</v>
      </c>
      <c r="B15" s="20" t="s">
        <v>95</v>
      </c>
      <c r="C15" s="40">
        <v>14261.739</v>
      </c>
      <c r="D15" s="40">
        <v>12614.38</v>
      </c>
      <c r="E15" s="40">
        <f>'Data Page'!O9*'Leverage Factors'!E17</f>
        <v>1375.559318571556</v>
      </c>
      <c r="F15" s="40">
        <f>'Data Page'!F9*'Leverage Factors'!F17</f>
        <v>27525.748972986</v>
      </c>
      <c r="G15" s="40">
        <f t="shared" si="7"/>
        <v>55777.42729155756</v>
      </c>
      <c r="H15" s="41">
        <f t="shared" si="0"/>
        <v>0.031332325602016306</v>
      </c>
      <c r="I15" s="40">
        <f t="shared" si="1"/>
        <v>33626.63113368627</v>
      </c>
      <c r="J15" s="40"/>
      <c r="K15" s="40">
        <v>15964.315</v>
      </c>
      <c r="L15" s="40">
        <v>13911.648</v>
      </c>
      <c r="M15" s="40">
        <v>2338.051</v>
      </c>
      <c r="N15" s="40">
        <f t="shared" si="6"/>
        <v>28644.436</v>
      </c>
      <c r="O15" s="40">
        <f t="shared" si="8"/>
        <v>60858.45</v>
      </c>
      <c r="P15" s="41">
        <f t="shared" si="2"/>
        <v>0.03181065191357337</v>
      </c>
      <c r="Q15" s="40">
        <f t="shared" si="3"/>
        <v>31873.635477450956</v>
      </c>
      <c r="R15" s="40"/>
      <c r="S15" s="40">
        <f>(I15+Q15)/2</f>
        <v>32750.133305568612</v>
      </c>
      <c r="T15" s="40">
        <v>28644.436</v>
      </c>
      <c r="U15" s="22">
        <f>T15/S15</f>
        <v>0.8746357070592288</v>
      </c>
      <c r="V15" s="6"/>
      <c r="W15"/>
      <c r="X15"/>
    </row>
    <row r="16" spans="1:24" ht="12.75">
      <c r="A16" s="20">
        <v>5.2</v>
      </c>
      <c r="B16" s="20" t="s">
        <v>96</v>
      </c>
      <c r="C16" s="40">
        <v>7661.346</v>
      </c>
      <c r="D16" s="40">
        <v>26674.591</v>
      </c>
      <c r="E16" s="40">
        <f>'Data Page'!O10*'Leverage Factors'!E17</f>
        <v>11266.011681428443</v>
      </c>
      <c r="F16" s="40">
        <f>'Data Page'!F10*'Leverage Factors'!F17</f>
        <v>14729.995027014002</v>
      </c>
      <c r="G16" s="40">
        <f t="shared" si="7"/>
        <v>60331.94370844244</v>
      </c>
      <c r="H16" s="41">
        <f t="shared" si="0"/>
        <v>0.03389077259864151</v>
      </c>
      <c r="I16" s="40">
        <f t="shared" si="1"/>
        <v>36372.42008415814</v>
      </c>
      <c r="J16" s="40"/>
      <c r="K16" s="40">
        <v>8315.995</v>
      </c>
      <c r="L16" s="40">
        <v>29203.436</v>
      </c>
      <c r="M16" s="40">
        <v>10642.263</v>
      </c>
      <c r="N16" s="40">
        <f t="shared" si="6"/>
        <v>17415.51</v>
      </c>
      <c r="O16" s="40">
        <f t="shared" si="8"/>
        <v>65577.204</v>
      </c>
      <c r="P16" s="41">
        <f t="shared" si="2"/>
        <v>0.03427713998482366</v>
      </c>
      <c r="Q16" s="40">
        <f t="shared" si="3"/>
        <v>34345.00707669089</v>
      </c>
      <c r="R16" s="40"/>
      <c r="S16" s="40">
        <f>(I16+Q16)/2</f>
        <v>35358.71358042452</v>
      </c>
      <c r="T16" s="40">
        <v>17415.51</v>
      </c>
      <c r="U16" s="22">
        <f>T16/S16</f>
        <v>0.49253799803513404</v>
      </c>
      <c r="V16" s="6"/>
      <c r="W16"/>
      <c r="X16"/>
    </row>
    <row r="17" spans="1:24" ht="12.75">
      <c r="A17" s="20">
        <v>5</v>
      </c>
      <c r="B17" s="20" t="s">
        <v>34</v>
      </c>
      <c r="C17" s="40">
        <f>C15+C16</f>
        <v>21923.085</v>
      </c>
      <c r="D17" s="40">
        <f>D15+D16</f>
        <v>39288.971</v>
      </c>
      <c r="E17" s="40">
        <v>12641.571</v>
      </c>
      <c r="F17" s="40">
        <v>42255.744</v>
      </c>
      <c r="G17" s="40">
        <f t="shared" si="7"/>
        <v>116109.37099999998</v>
      </c>
      <c r="H17" s="41">
        <f t="shared" si="0"/>
        <v>0.06522309820065782</v>
      </c>
      <c r="I17" s="40">
        <f t="shared" si="1"/>
        <v>69999.05121784442</v>
      </c>
      <c r="J17" s="40"/>
      <c r="K17" s="40">
        <f>K15+K16</f>
        <v>24280.31</v>
      </c>
      <c r="L17" s="40">
        <f>L15+L16</f>
        <v>43115.084</v>
      </c>
      <c r="M17" s="40">
        <f>M15+M16</f>
        <v>12980.314</v>
      </c>
      <c r="N17" s="40">
        <f t="shared" si="6"/>
        <v>46059.945999999996</v>
      </c>
      <c r="O17" s="40">
        <f t="shared" si="8"/>
        <v>126435.654</v>
      </c>
      <c r="P17" s="41">
        <f t="shared" si="2"/>
        <v>0.06608779189839703</v>
      </c>
      <c r="Q17" s="40">
        <f t="shared" si="3"/>
        <v>66218.64255414184</v>
      </c>
      <c r="R17" s="40"/>
      <c r="S17" s="40">
        <f t="shared" si="4"/>
        <v>68108.84688599313</v>
      </c>
      <c r="T17" s="40">
        <f>T15+T16</f>
        <v>46059.945999999996</v>
      </c>
      <c r="U17" s="22">
        <f t="shared" si="5"/>
        <v>0.6762696493320374</v>
      </c>
      <c r="V17" s="6"/>
      <c r="W17"/>
      <c r="X17"/>
    </row>
    <row r="18" spans="1:24" ht="12.75">
      <c r="A18" s="20">
        <v>6</v>
      </c>
      <c r="B18" s="20" t="s">
        <v>46</v>
      </c>
      <c r="C18" s="40">
        <v>1115.547</v>
      </c>
      <c r="D18" s="40">
        <v>4802.309</v>
      </c>
      <c r="E18" s="40">
        <v>130.171</v>
      </c>
      <c r="F18" s="40">
        <v>4850.228</v>
      </c>
      <c r="G18" s="40">
        <f t="shared" si="7"/>
        <v>10898.255000000001</v>
      </c>
      <c r="H18" s="41">
        <f t="shared" si="0"/>
        <v>0.006121968881226737</v>
      </c>
      <c r="I18" s="40">
        <f t="shared" si="1"/>
        <v>6570.249268942548</v>
      </c>
      <c r="J18" s="40"/>
      <c r="K18" s="40">
        <v>1015.597</v>
      </c>
      <c r="L18" s="40">
        <v>3563.701</v>
      </c>
      <c r="M18" s="40">
        <v>132.52</v>
      </c>
      <c r="N18" s="40">
        <f t="shared" si="6"/>
        <v>4374.035</v>
      </c>
      <c r="O18" s="40">
        <f t="shared" si="8"/>
        <v>9085.853</v>
      </c>
      <c r="P18" s="41">
        <f t="shared" si="2"/>
        <v>0.004749166420125658</v>
      </c>
      <c r="Q18" s="40">
        <f t="shared" si="3"/>
        <v>4758.569541677519</v>
      </c>
      <c r="R18" s="40"/>
      <c r="S18" s="40">
        <f t="shared" si="4"/>
        <v>5664.409405310033</v>
      </c>
      <c r="T18" s="40">
        <v>4374.035</v>
      </c>
      <c r="U18" s="22">
        <f t="shared" si="5"/>
        <v>0.7721961262015441</v>
      </c>
      <c r="V18" s="6"/>
      <c r="W18"/>
      <c r="X18"/>
    </row>
    <row r="19" spans="1:24" ht="12.75">
      <c r="A19" s="20">
        <v>8</v>
      </c>
      <c r="B19" s="20" t="s">
        <v>47</v>
      </c>
      <c r="C19" s="40">
        <v>1645.601</v>
      </c>
      <c r="D19" s="40">
        <v>3456.412</v>
      </c>
      <c r="E19" s="40">
        <v>380.756</v>
      </c>
      <c r="F19" s="40">
        <v>3738.012</v>
      </c>
      <c r="G19" s="40">
        <f t="shared" si="7"/>
        <v>9220.781</v>
      </c>
      <c r="H19" s="41">
        <f t="shared" si="0"/>
        <v>0.005179667235039624</v>
      </c>
      <c r="I19" s="40">
        <f t="shared" si="1"/>
        <v>5558.947705327994</v>
      </c>
      <c r="J19" s="40"/>
      <c r="K19" s="40">
        <v>1733.046</v>
      </c>
      <c r="L19" s="40">
        <v>3534.277</v>
      </c>
      <c r="M19" s="40">
        <v>438.469</v>
      </c>
      <c r="N19" s="40">
        <f t="shared" si="6"/>
        <v>4057.009</v>
      </c>
      <c r="O19" s="40">
        <f t="shared" si="8"/>
        <v>9762.801</v>
      </c>
      <c r="P19" s="41">
        <f t="shared" si="2"/>
        <v>0.005103006473422935</v>
      </c>
      <c r="Q19" s="40">
        <f t="shared" si="3"/>
        <v>5113.110181296001</v>
      </c>
      <c r="R19" s="40"/>
      <c r="S19" s="40">
        <f t="shared" si="4"/>
        <v>5336.028943311998</v>
      </c>
      <c r="T19" s="40">
        <v>4057.009</v>
      </c>
      <c r="U19" s="22">
        <f t="shared" si="5"/>
        <v>0.7603049089688543</v>
      </c>
      <c r="V19" s="6"/>
      <c r="W19"/>
      <c r="X19"/>
    </row>
    <row r="20" spans="1:24" ht="12.75">
      <c r="A20" s="20">
        <v>9</v>
      </c>
      <c r="B20" s="20" t="s">
        <v>48</v>
      </c>
      <c r="C20" s="40">
        <v>8911.503</v>
      </c>
      <c r="D20" s="40">
        <v>4769.981</v>
      </c>
      <c r="E20" s="40">
        <v>630.593</v>
      </c>
      <c r="F20" s="40">
        <v>16435.873</v>
      </c>
      <c r="G20" s="40">
        <f t="shared" si="7"/>
        <v>30747.95</v>
      </c>
      <c r="H20" s="41">
        <f t="shared" si="0"/>
        <v>0.017272305801388905</v>
      </c>
      <c r="I20" s="40">
        <f t="shared" si="1"/>
        <v>18537.068182840463</v>
      </c>
      <c r="J20" s="40"/>
      <c r="K20" s="40">
        <v>9595.073</v>
      </c>
      <c r="L20" s="40">
        <v>5608.059</v>
      </c>
      <c r="M20" s="40">
        <v>485.64</v>
      </c>
      <c r="N20" s="40">
        <f t="shared" si="6"/>
        <v>20558.255</v>
      </c>
      <c r="O20" s="40">
        <f t="shared" si="8"/>
        <v>36247.027</v>
      </c>
      <c r="P20" s="41">
        <f t="shared" si="2"/>
        <v>0.01894628533587194</v>
      </c>
      <c r="Q20" s="40">
        <f t="shared" si="3"/>
        <v>18983.798071415273</v>
      </c>
      <c r="R20" s="40"/>
      <c r="S20" s="40">
        <f t="shared" si="4"/>
        <v>18760.433127127868</v>
      </c>
      <c r="T20" s="40">
        <v>20558.255</v>
      </c>
      <c r="U20" s="22">
        <f t="shared" si="5"/>
        <v>1.0958305099189025</v>
      </c>
      <c r="V20" s="6"/>
      <c r="W20"/>
      <c r="X20"/>
    </row>
    <row r="21" spans="1:24" ht="12.75">
      <c r="A21" s="20">
        <v>10</v>
      </c>
      <c r="B21" s="20" t="s">
        <v>49</v>
      </c>
      <c r="C21" s="40">
        <v>2732.813</v>
      </c>
      <c r="D21" s="40">
        <v>895.038</v>
      </c>
      <c r="E21" s="40">
        <v>124.974</v>
      </c>
      <c r="F21" s="40">
        <v>440.85</v>
      </c>
      <c r="G21" s="40">
        <f t="shared" si="7"/>
        <v>4193.675</v>
      </c>
      <c r="H21" s="41">
        <f t="shared" si="0"/>
        <v>0.0023557484980832742</v>
      </c>
      <c r="I21" s="40">
        <f t="shared" si="1"/>
        <v>2528.247880319614</v>
      </c>
      <c r="J21" s="40"/>
      <c r="K21" s="40">
        <v>2621.594</v>
      </c>
      <c r="L21" s="40">
        <v>2260.9</v>
      </c>
      <c r="M21" s="40">
        <v>82.151</v>
      </c>
      <c r="N21" s="40">
        <f t="shared" si="6"/>
        <v>400.677</v>
      </c>
      <c r="O21" s="40">
        <f t="shared" si="8"/>
        <v>5365.322</v>
      </c>
      <c r="P21" s="41">
        <f t="shared" si="2"/>
        <v>0.002804448528449826</v>
      </c>
      <c r="Q21" s="40">
        <f t="shared" si="3"/>
        <v>2810.0012019226274</v>
      </c>
      <c r="R21" s="40"/>
      <c r="S21" s="40">
        <f t="shared" si="4"/>
        <v>2669.1245411211207</v>
      </c>
      <c r="T21" s="40">
        <v>400.677</v>
      </c>
      <c r="U21" s="22">
        <f t="shared" si="5"/>
        <v>0.15011551309318164</v>
      </c>
      <c r="V21" s="6"/>
      <c r="W21"/>
      <c r="X21"/>
    </row>
    <row r="22" spans="1:24" ht="12.75">
      <c r="A22" s="20">
        <v>11.1</v>
      </c>
      <c r="B22" s="20" t="s">
        <v>50</v>
      </c>
      <c r="C22" s="40">
        <v>1440.553</v>
      </c>
      <c r="D22" s="40">
        <v>8148.277</v>
      </c>
      <c r="E22" s="40">
        <v>2796.814</v>
      </c>
      <c r="F22" s="40">
        <v>2327.69</v>
      </c>
      <c r="G22" s="40">
        <f t="shared" si="7"/>
        <v>14713.334</v>
      </c>
      <c r="H22" s="41">
        <f t="shared" si="0"/>
        <v>0.008265045448752603</v>
      </c>
      <c r="I22" s="40">
        <f t="shared" si="1"/>
        <v>8870.252343811695</v>
      </c>
      <c r="J22" s="40"/>
      <c r="K22" s="40">
        <v>1470.803</v>
      </c>
      <c r="L22" s="40">
        <v>8357.123</v>
      </c>
      <c r="M22" s="40">
        <v>2889.73</v>
      </c>
      <c r="N22" s="40">
        <f t="shared" si="6"/>
        <v>2506.038</v>
      </c>
      <c r="O22" s="40">
        <f t="shared" si="8"/>
        <v>15223.694</v>
      </c>
      <c r="P22" s="41">
        <f t="shared" si="2"/>
        <v>0.007957409869504653</v>
      </c>
      <c r="Q22" s="40">
        <f t="shared" si="3"/>
        <v>7973.1651590905985</v>
      </c>
      <c r="R22" s="40"/>
      <c r="S22" s="40">
        <f t="shared" si="4"/>
        <v>8421.708751451148</v>
      </c>
      <c r="T22" s="40">
        <v>2506.038</v>
      </c>
      <c r="U22" s="22">
        <f t="shared" si="5"/>
        <v>0.29756882765248605</v>
      </c>
      <c r="V22" s="6"/>
      <c r="W22"/>
      <c r="X22"/>
    </row>
    <row r="23" spans="1:24" ht="12.75">
      <c r="A23" s="20">
        <v>11.2</v>
      </c>
      <c r="B23" s="20" t="s">
        <v>51</v>
      </c>
      <c r="C23" s="40">
        <v>3336.938</v>
      </c>
      <c r="D23" s="40">
        <v>15525.607</v>
      </c>
      <c r="E23" s="40">
        <v>5284.159</v>
      </c>
      <c r="F23" s="40">
        <v>7443.935</v>
      </c>
      <c r="G23" s="40">
        <f t="shared" si="7"/>
        <v>31590.639</v>
      </c>
      <c r="H23" s="41">
        <f t="shared" si="0"/>
        <v>0.017745676614840424</v>
      </c>
      <c r="I23" s="40">
        <f t="shared" si="1"/>
        <v>19045.101513515507</v>
      </c>
      <c r="J23" s="40"/>
      <c r="K23" s="40">
        <v>3520.863</v>
      </c>
      <c r="L23" s="40">
        <v>16292.869</v>
      </c>
      <c r="M23" s="40">
        <v>5394.486</v>
      </c>
      <c r="N23" s="40">
        <f t="shared" si="6"/>
        <v>7919.795</v>
      </c>
      <c r="O23" s="40">
        <f t="shared" si="8"/>
        <v>33128.013</v>
      </c>
      <c r="P23" s="41">
        <f t="shared" si="2"/>
        <v>0.017315979788038203</v>
      </c>
      <c r="Q23" s="40">
        <f t="shared" si="3"/>
        <v>17350.264596851488</v>
      </c>
      <c r="R23" s="40"/>
      <c r="S23" s="40">
        <f t="shared" si="4"/>
        <v>18197.683055183497</v>
      </c>
      <c r="T23" s="40">
        <v>7919.795</v>
      </c>
      <c r="U23" s="22">
        <f t="shared" si="5"/>
        <v>0.4352089755593416</v>
      </c>
      <c r="V23" s="6"/>
      <c r="W23"/>
      <c r="X23"/>
    </row>
    <row r="24" spans="1:24" ht="12.75">
      <c r="A24" s="20">
        <v>11</v>
      </c>
      <c r="B24" s="20" t="s">
        <v>116</v>
      </c>
      <c r="C24" s="40">
        <f>C22+C23</f>
        <v>4777.491</v>
      </c>
      <c r="D24" s="40">
        <f>D22+D23</f>
        <v>23673.884</v>
      </c>
      <c r="E24" s="40">
        <f>E22+E23</f>
        <v>8080.973</v>
      </c>
      <c r="F24" s="40">
        <f>F22+F23</f>
        <v>9771.625</v>
      </c>
      <c r="G24" s="40">
        <f t="shared" si="7"/>
        <v>46303.973</v>
      </c>
      <c r="H24" s="41">
        <f t="shared" si="0"/>
        <v>0.026010722063593023</v>
      </c>
      <c r="I24" s="40">
        <f t="shared" si="1"/>
        <v>27915.353857327198</v>
      </c>
      <c r="J24" s="40"/>
      <c r="K24" s="40">
        <f>K22+K23</f>
        <v>4991.666</v>
      </c>
      <c r="L24" s="40">
        <f>L22+L23</f>
        <v>24649.992</v>
      </c>
      <c r="M24" s="40">
        <f>M22+M23</f>
        <v>8284.216</v>
      </c>
      <c r="N24" s="40">
        <f t="shared" si="6"/>
        <v>10425.833</v>
      </c>
      <c r="O24" s="40">
        <f t="shared" si="8"/>
        <v>48351.706999999995</v>
      </c>
      <c r="P24" s="41">
        <f t="shared" si="2"/>
        <v>0.025273389657542854</v>
      </c>
      <c r="Q24" s="40">
        <f t="shared" si="3"/>
        <v>25323.429755942085</v>
      </c>
      <c r="R24" s="40"/>
      <c r="S24" s="40">
        <f>(I24+Q24)/2</f>
        <v>26619.39180663464</v>
      </c>
      <c r="T24" s="40">
        <f>T22+T23</f>
        <v>10425.833</v>
      </c>
      <c r="U24" s="22">
        <f>T24/S24</f>
        <v>0.391663080649403</v>
      </c>
      <c r="V24" s="6"/>
      <c r="W24"/>
      <c r="X24"/>
    </row>
    <row r="25" spans="1:24" ht="12.75">
      <c r="A25" s="20">
        <v>12</v>
      </c>
      <c r="B25" s="20" t="s">
        <v>52</v>
      </c>
      <c r="C25" s="40">
        <v>2133.199</v>
      </c>
      <c r="D25" s="40">
        <v>278.647</v>
      </c>
      <c r="E25" s="40">
        <v>24.802</v>
      </c>
      <c r="F25" s="40">
        <v>2997.866</v>
      </c>
      <c r="G25" s="40">
        <f t="shared" si="7"/>
        <v>5434.514</v>
      </c>
      <c r="H25" s="41">
        <f t="shared" si="0"/>
        <v>0.003052775475761123</v>
      </c>
      <c r="I25" s="40">
        <f t="shared" si="1"/>
        <v>3276.3145692184703</v>
      </c>
      <c r="J25" s="40"/>
      <c r="K25" s="40">
        <v>2249.399</v>
      </c>
      <c r="L25" s="40">
        <v>333.938</v>
      </c>
      <c r="M25" s="40">
        <v>34.519</v>
      </c>
      <c r="N25" s="40">
        <f t="shared" si="6"/>
        <v>3400.989</v>
      </c>
      <c r="O25" s="40">
        <f t="shared" si="8"/>
        <v>6018.844999999999</v>
      </c>
      <c r="P25" s="41">
        <f t="shared" si="2"/>
        <v>0.0031460443573037354</v>
      </c>
      <c r="Q25" s="40">
        <f t="shared" si="3"/>
        <v>3152.2733741210677</v>
      </c>
      <c r="R25" s="40"/>
      <c r="S25" s="40">
        <f t="shared" si="4"/>
        <v>3214.2939716697692</v>
      </c>
      <c r="T25" s="40">
        <v>3400.989</v>
      </c>
      <c r="U25" s="23">
        <v>1</v>
      </c>
      <c r="V25" s="6"/>
      <c r="W25"/>
      <c r="X25"/>
    </row>
    <row r="26" spans="1:24" ht="12.75">
      <c r="A26" s="20">
        <v>13</v>
      </c>
      <c r="B26" s="20" t="s">
        <v>53</v>
      </c>
      <c r="C26" s="40">
        <v>408.115</v>
      </c>
      <c r="D26" s="40">
        <v>1052.975</v>
      </c>
      <c r="E26" s="40">
        <v>226.02</v>
      </c>
      <c r="F26" s="40">
        <v>5904.43</v>
      </c>
      <c r="G26" s="40">
        <f t="shared" si="7"/>
        <v>7591.54</v>
      </c>
      <c r="H26" s="41">
        <f t="shared" si="0"/>
        <v>0.00426445991955483</v>
      </c>
      <c r="I26" s="40">
        <f t="shared" si="1"/>
        <v>4576.724451313363</v>
      </c>
      <c r="J26" s="40"/>
      <c r="K26" s="40">
        <v>611.506</v>
      </c>
      <c r="L26" s="40">
        <v>1135.427</v>
      </c>
      <c r="M26" s="40">
        <v>156.334</v>
      </c>
      <c r="N26" s="40">
        <f t="shared" si="6"/>
        <v>3077.354</v>
      </c>
      <c r="O26" s="40">
        <f t="shared" si="8"/>
        <v>4980.621</v>
      </c>
      <c r="P26" s="41">
        <f t="shared" si="2"/>
        <v>0.0026033656944012495</v>
      </c>
      <c r="Q26" s="40">
        <f t="shared" si="3"/>
        <v>2608.520233514611</v>
      </c>
      <c r="R26" s="40"/>
      <c r="S26" s="40">
        <f t="shared" si="4"/>
        <v>3592.622342413987</v>
      </c>
      <c r="T26" s="40">
        <v>3077.354</v>
      </c>
      <c r="U26" s="22">
        <f t="shared" si="5"/>
        <v>0.856575978963666</v>
      </c>
      <c r="V26" s="6"/>
      <c r="W26"/>
      <c r="X26"/>
    </row>
    <row r="27" spans="1:24" ht="12.75">
      <c r="A27" s="20">
        <v>14</v>
      </c>
      <c r="B27" s="20" t="s">
        <v>54</v>
      </c>
      <c r="C27" s="40">
        <v>76.251</v>
      </c>
      <c r="D27" s="40">
        <v>15.365</v>
      </c>
      <c r="E27" s="40">
        <v>0.769</v>
      </c>
      <c r="F27" s="40">
        <v>49.253</v>
      </c>
      <c r="G27" s="40">
        <f t="shared" si="7"/>
        <v>141.638</v>
      </c>
      <c r="H27" s="41">
        <f t="shared" si="0"/>
        <v>7.956351070875039E-05</v>
      </c>
      <c r="I27" s="40">
        <f t="shared" si="1"/>
        <v>85.38953859626926</v>
      </c>
      <c r="J27" s="40"/>
      <c r="K27" s="40">
        <v>78.722</v>
      </c>
      <c r="L27" s="40">
        <v>12.454</v>
      </c>
      <c r="M27" s="40">
        <v>0.615</v>
      </c>
      <c r="N27" s="40">
        <f t="shared" si="6"/>
        <v>56.896</v>
      </c>
      <c r="O27" s="40">
        <f t="shared" si="8"/>
        <v>148.68699999999998</v>
      </c>
      <c r="P27" s="41">
        <f t="shared" si="2"/>
        <v>7.77185485511623E-05</v>
      </c>
      <c r="Q27" s="40">
        <f t="shared" si="3"/>
        <v>77.87242754680328</v>
      </c>
      <c r="R27" s="40"/>
      <c r="S27" s="40">
        <f t="shared" si="4"/>
        <v>81.63098307153626</v>
      </c>
      <c r="T27" s="40">
        <v>56.896</v>
      </c>
      <c r="U27" s="22">
        <f t="shared" si="5"/>
        <v>0.6969902585901718</v>
      </c>
      <c r="V27" s="6"/>
      <c r="W27"/>
      <c r="X27"/>
    </row>
    <row r="28" spans="1:24" ht="12.75">
      <c r="A28" s="20">
        <v>15</v>
      </c>
      <c r="B28" s="20" t="s">
        <v>55</v>
      </c>
      <c r="C28" s="40">
        <v>2987.226</v>
      </c>
      <c r="D28" s="40">
        <v>6093.166</v>
      </c>
      <c r="E28" s="40">
        <v>220.043</v>
      </c>
      <c r="F28" s="40">
        <v>2822.244</v>
      </c>
      <c r="G28" s="40">
        <f t="shared" si="7"/>
        <v>12122.679</v>
      </c>
      <c r="H28" s="41">
        <f t="shared" si="0"/>
        <v>0.006809774922233041</v>
      </c>
      <c r="I28" s="40">
        <f t="shared" si="1"/>
        <v>7308.419819262365</v>
      </c>
      <c r="J28" s="40"/>
      <c r="K28" s="40">
        <v>2999.503</v>
      </c>
      <c r="L28" s="40">
        <v>6262.193</v>
      </c>
      <c r="M28" s="40">
        <v>309.602</v>
      </c>
      <c r="N28" s="40">
        <f t="shared" si="6"/>
        <v>6257.55</v>
      </c>
      <c r="O28" s="40">
        <f t="shared" si="8"/>
        <v>15828.848000000002</v>
      </c>
      <c r="P28" s="41">
        <f t="shared" si="2"/>
        <v>0.008273723269666942</v>
      </c>
      <c r="Q28" s="40">
        <f t="shared" si="3"/>
        <v>8290.104844602165</v>
      </c>
      <c r="R28" s="40"/>
      <c r="S28" s="40">
        <f t="shared" si="4"/>
        <v>7799.262331932265</v>
      </c>
      <c r="T28" s="40">
        <v>6257.55</v>
      </c>
      <c r="U28" s="22">
        <f t="shared" si="5"/>
        <v>0.8023258782282419</v>
      </c>
      <c r="V28" s="6"/>
      <c r="W28"/>
      <c r="X28"/>
    </row>
    <row r="29" spans="1:24" ht="12.75">
      <c r="A29" s="20">
        <v>16</v>
      </c>
      <c r="B29" s="20" t="s">
        <v>56</v>
      </c>
      <c r="C29" s="40">
        <v>15858.914</v>
      </c>
      <c r="D29" s="40">
        <v>131393.855</v>
      </c>
      <c r="E29" s="40">
        <v>22002.279</v>
      </c>
      <c r="F29" s="40">
        <v>44838.87</v>
      </c>
      <c r="G29" s="40">
        <f t="shared" si="7"/>
        <v>214093.918</v>
      </c>
      <c r="H29" s="41">
        <f t="shared" si="0"/>
        <v>0.12026478584469795</v>
      </c>
      <c r="I29" s="40">
        <f t="shared" si="1"/>
        <v>129071.15939428337</v>
      </c>
      <c r="J29" s="40"/>
      <c r="K29" s="40">
        <v>16681.846</v>
      </c>
      <c r="L29" s="40">
        <v>130412.852</v>
      </c>
      <c r="M29" s="40">
        <v>22474.152</v>
      </c>
      <c r="N29" s="40">
        <f t="shared" si="6"/>
        <v>48292.509</v>
      </c>
      <c r="O29" s="40">
        <f t="shared" si="8"/>
        <v>217861.359</v>
      </c>
      <c r="P29" s="41">
        <f t="shared" si="2"/>
        <v>0.11387591791389767</v>
      </c>
      <c r="Q29" s="40">
        <f t="shared" si="3"/>
        <v>114101.38676532314</v>
      </c>
      <c r="R29" s="40"/>
      <c r="S29" s="40">
        <f t="shared" si="4"/>
        <v>121586.27307980326</v>
      </c>
      <c r="T29" s="40">
        <v>48292.509</v>
      </c>
      <c r="U29" s="22">
        <f t="shared" si="5"/>
        <v>0.3971871805652203</v>
      </c>
      <c r="V29" s="6"/>
      <c r="W29"/>
      <c r="X29"/>
    </row>
    <row r="30" spans="1:24" ht="12.75">
      <c r="A30" s="20">
        <v>17.1</v>
      </c>
      <c r="B30" s="20" t="s">
        <v>57</v>
      </c>
      <c r="C30" s="40">
        <v>27261.898</v>
      </c>
      <c r="D30" s="40">
        <v>96591.418</v>
      </c>
      <c r="E30" s="40">
        <v>21067.035</v>
      </c>
      <c r="F30" s="40">
        <v>47311.979</v>
      </c>
      <c r="G30" s="40">
        <f t="shared" si="7"/>
        <v>192232.33</v>
      </c>
      <c r="H30" s="41">
        <f t="shared" si="0"/>
        <v>0.10798429126733672</v>
      </c>
      <c r="I30" s="40">
        <f t="shared" si="1"/>
        <v>115891.42717339816</v>
      </c>
      <c r="J30" s="40"/>
      <c r="K30" s="40">
        <v>30889.038</v>
      </c>
      <c r="L30" s="40">
        <v>106549.501</v>
      </c>
      <c r="M30" s="40">
        <v>22044.999</v>
      </c>
      <c r="N30" s="40">
        <f t="shared" si="6"/>
        <v>55151.076</v>
      </c>
      <c r="O30" s="40">
        <f t="shared" si="8"/>
        <v>214634.614</v>
      </c>
      <c r="P30" s="41">
        <f t="shared" si="2"/>
        <v>0.11218930147840082</v>
      </c>
      <c r="Q30" s="40">
        <f t="shared" si="3"/>
        <v>112411.43091024159</v>
      </c>
      <c r="R30" s="40"/>
      <c r="S30" s="40">
        <f t="shared" si="4"/>
        <v>114151.42904181988</v>
      </c>
      <c r="T30" s="40">
        <v>55151.076</v>
      </c>
      <c r="U30" s="22">
        <f t="shared" si="5"/>
        <v>0.48313960204383566</v>
      </c>
      <c r="V30" s="6"/>
      <c r="W30"/>
      <c r="X30"/>
    </row>
    <row r="31" spans="1:24" ht="12.75">
      <c r="A31" s="20">
        <v>17.2</v>
      </c>
      <c r="B31" s="20" t="s">
        <v>58</v>
      </c>
      <c r="C31" s="40">
        <v>20280.768</v>
      </c>
      <c r="D31" s="40">
        <v>45566.067</v>
      </c>
      <c r="E31" s="40">
        <v>11069.428</v>
      </c>
      <c r="F31" s="40">
        <v>29583.226</v>
      </c>
      <c r="G31" s="40">
        <f t="shared" si="7"/>
        <v>106499.489</v>
      </c>
      <c r="H31" s="41">
        <f t="shared" si="0"/>
        <v>0.05982485797263407</v>
      </c>
      <c r="I31" s="40">
        <f t="shared" si="1"/>
        <v>64205.52554009838</v>
      </c>
      <c r="J31" s="40"/>
      <c r="K31" s="40">
        <v>21539.603</v>
      </c>
      <c r="L31" s="40">
        <v>52229.71</v>
      </c>
      <c r="M31" s="40">
        <v>12152.216</v>
      </c>
      <c r="N31" s="40">
        <f t="shared" si="6"/>
        <v>34298.777</v>
      </c>
      <c r="O31" s="40">
        <f t="shared" si="8"/>
        <v>120220.306</v>
      </c>
      <c r="P31" s="41">
        <f t="shared" si="2"/>
        <v>0.0628390356164062</v>
      </c>
      <c r="Q31" s="40">
        <f t="shared" si="3"/>
        <v>62963.453890652985</v>
      </c>
      <c r="R31" s="40"/>
      <c r="S31" s="40">
        <f t="shared" si="4"/>
        <v>63584.48971537568</v>
      </c>
      <c r="T31" s="40">
        <v>34298.777</v>
      </c>
      <c r="U31" s="22">
        <f t="shared" si="5"/>
        <v>0.5394204963117922</v>
      </c>
      <c r="V31" s="6"/>
      <c r="W31"/>
      <c r="X31"/>
    </row>
    <row r="32" spans="1:24" ht="12.75">
      <c r="A32" s="20">
        <v>17.3</v>
      </c>
      <c r="B32" s="20" t="s">
        <v>126</v>
      </c>
      <c r="C32" s="40">
        <v>515.238</v>
      </c>
      <c r="D32" s="40">
        <v>9634.947</v>
      </c>
      <c r="E32" s="40">
        <v>653.276</v>
      </c>
      <c r="F32" s="40">
        <v>1104.055</v>
      </c>
      <c r="G32" s="40">
        <f>+C32+D32+E32+F32</f>
        <v>11907.516</v>
      </c>
      <c r="H32" s="41">
        <f t="shared" si="0"/>
        <v>0.006688909591921776</v>
      </c>
      <c r="I32" s="40">
        <f t="shared" si="1"/>
        <v>7178.704140609821</v>
      </c>
      <c r="J32" s="40"/>
      <c r="K32" s="40">
        <v>563.287</v>
      </c>
      <c r="L32" s="40">
        <v>9914.265</v>
      </c>
      <c r="M32" s="40">
        <v>684.374</v>
      </c>
      <c r="N32" s="40">
        <f>T32</f>
        <v>1138.1</v>
      </c>
      <c r="O32" s="40">
        <f>+K32+L32+M32+N32</f>
        <v>12300.026</v>
      </c>
      <c r="P32" s="41">
        <f t="shared" si="2"/>
        <v>0.006429211483596809</v>
      </c>
      <c r="Q32" s="40">
        <f t="shared" si="3"/>
        <v>6441.94101373218</v>
      </c>
      <c r="R32" s="40"/>
      <c r="S32" s="40">
        <f>(I32+Q32)/2</f>
        <v>6810.322577171</v>
      </c>
      <c r="T32" s="40">
        <v>1138.1</v>
      </c>
      <c r="U32" s="22">
        <f>T32/S32</f>
        <v>0.1671139637078344</v>
      </c>
      <c r="V32" s="6"/>
      <c r="W32"/>
      <c r="X32"/>
    </row>
    <row r="33" spans="1:24" ht="12.75">
      <c r="A33" s="20">
        <v>17</v>
      </c>
      <c r="B33" s="20" t="s">
        <v>117</v>
      </c>
      <c r="C33" s="40">
        <f>C30+C31+C32</f>
        <v>48057.903999999995</v>
      </c>
      <c r="D33" s="40">
        <f>D30+D31+D32</f>
        <v>151792.43200000003</v>
      </c>
      <c r="E33" s="40">
        <f>E30+E31+E32</f>
        <v>32789.739</v>
      </c>
      <c r="F33" s="40">
        <f>F30+F31+F32</f>
        <v>77999.26</v>
      </c>
      <c r="G33" s="40">
        <f t="shared" si="7"/>
        <v>310639.335</v>
      </c>
      <c r="H33" s="41">
        <f t="shared" si="0"/>
        <v>0.1744980588318926</v>
      </c>
      <c r="I33" s="40">
        <f t="shared" si="1"/>
        <v>187275.6568541064</v>
      </c>
      <c r="J33" s="40"/>
      <c r="K33" s="40">
        <f>K30+K31+K32</f>
        <v>52991.928</v>
      </c>
      <c r="L33" s="40">
        <f>L30+L31+L32</f>
        <v>168693.47600000002</v>
      </c>
      <c r="M33" s="40">
        <f>M30+M31+M32</f>
        <v>34881.589</v>
      </c>
      <c r="N33" s="40">
        <f t="shared" si="6"/>
        <v>90587.95300000001</v>
      </c>
      <c r="O33" s="40">
        <f t="shared" si="8"/>
        <v>347154.94600000005</v>
      </c>
      <c r="P33" s="41">
        <f t="shared" si="2"/>
        <v>0.18145754857840388</v>
      </c>
      <c r="Q33" s="40">
        <f t="shared" si="3"/>
        <v>181816.8258146268</v>
      </c>
      <c r="R33" s="40"/>
      <c r="S33" s="40">
        <f t="shared" si="4"/>
        <v>184546.2413343666</v>
      </c>
      <c r="T33" s="40">
        <f>T30+T31+T32</f>
        <v>90587.95300000001</v>
      </c>
      <c r="U33" s="22">
        <f t="shared" si="5"/>
        <v>0.4908685885174434</v>
      </c>
      <c r="V33" s="6"/>
      <c r="W33"/>
      <c r="X33"/>
    </row>
    <row r="34" spans="1:24" ht="12.75">
      <c r="A34" s="20">
        <v>18.1</v>
      </c>
      <c r="B34" s="20" t="s">
        <v>59</v>
      </c>
      <c r="C34" s="40">
        <v>1466.514</v>
      </c>
      <c r="D34" s="40">
        <v>8533.682</v>
      </c>
      <c r="E34" s="40">
        <v>4857.022</v>
      </c>
      <c r="F34" s="40">
        <v>2851.172</v>
      </c>
      <c r="G34" s="40">
        <f t="shared" si="7"/>
        <v>17708.39</v>
      </c>
      <c r="H34" s="41">
        <f t="shared" si="0"/>
        <v>0.009947483566555079</v>
      </c>
      <c r="I34" s="40">
        <f t="shared" si="1"/>
        <v>10675.886777438178</v>
      </c>
      <c r="J34" s="40"/>
      <c r="K34" s="40">
        <v>1682.608</v>
      </c>
      <c r="L34" s="40">
        <v>8894.528</v>
      </c>
      <c r="M34" s="40">
        <v>4861.221</v>
      </c>
      <c r="N34" s="40">
        <f t="shared" si="6"/>
        <v>3408.742</v>
      </c>
      <c r="O34" s="40">
        <f t="shared" si="8"/>
        <v>18847.099000000002</v>
      </c>
      <c r="P34" s="41">
        <f t="shared" si="2"/>
        <v>0.009851360096579142</v>
      </c>
      <c r="Q34" s="40">
        <f t="shared" si="3"/>
        <v>9870.865316705085</v>
      </c>
      <c r="R34" s="40"/>
      <c r="S34" s="40">
        <f t="shared" si="4"/>
        <v>10273.376047071632</v>
      </c>
      <c r="T34" s="40">
        <v>3408.742</v>
      </c>
      <c r="U34" s="22">
        <f t="shared" si="5"/>
        <v>0.3318034874204418</v>
      </c>
      <c r="V34" s="6"/>
      <c r="W34"/>
      <c r="X34"/>
    </row>
    <row r="35" spans="1:24" ht="12.75">
      <c r="A35" s="20">
        <v>18.2</v>
      </c>
      <c r="B35" s="20" t="s">
        <v>60</v>
      </c>
      <c r="C35" s="40">
        <v>318.49</v>
      </c>
      <c r="D35" s="40">
        <v>994.34</v>
      </c>
      <c r="E35" s="40">
        <v>359.154</v>
      </c>
      <c r="F35" s="40">
        <v>594.519</v>
      </c>
      <c r="G35" s="40">
        <f t="shared" si="7"/>
        <v>2266.5029999999997</v>
      </c>
      <c r="H35" s="41">
        <f t="shared" si="0"/>
        <v>0.001273181884183022</v>
      </c>
      <c r="I35" s="40">
        <f t="shared" si="1"/>
        <v>1366.4104646850424</v>
      </c>
      <c r="J35" s="40"/>
      <c r="K35" s="40">
        <v>317.612</v>
      </c>
      <c r="L35" s="40">
        <v>981.037</v>
      </c>
      <c r="M35" s="40">
        <v>395.48</v>
      </c>
      <c r="N35" s="40">
        <f t="shared" si="6"/>
        <v>662.206</v>
      </c>
      <c r="O35" s="40">
        <f t="shared" si="8"/>
        <v>2356.335</v>
      </c>
      <c r="P35" s="41">
        <f t="shared" si="2"/>
        <v>0.0012316539852193066</v>
      </c>
      <c r="Q35" s="40">
        <f t="shared" si="3"/>
        <v>1234.0926009906495</v>
      </c>
      <c r="R35" s="40"/>
      <c r="S35" s="40">
        <f t="shared" si="4"/>
        <v>1300.2515328378458</v>
      </c>
      <c r="T35" s="40">
        <v>662.206</v>
      </c>
      <c r="U35" s="22">
        <f t="shared" si="5"/>
        <v>0.5092906897442463</v>
      </c>
      <c r="V35" s="6"/>
      <c r="W35"/>
      <c r="X35"/>
    </row>
    <row r="36" spans="1:24" ht="12.75">
      <c r="A36" s="20">
        <v>18</v>
      </c>
      <c r="B36" s="20" t="s">
        <v>118</v>
      </c>
      <c r="C36" s="40">
        <f>C34+C35</f>
        <v>1785.004</v>
      </c>
      <c r="D36" s="40">
        <f>D34+D35</f>
        <v>9528.022</v>
      </c>
      <c r="E36" s="40">
        <f>E34+E35</f>
        <v>5216.1759999999995</v>
      </c>
      <c r="F36" s="40">
        <f>F34+F35</f>
        <v>3445.691</v>
      </c>
      <c r="G36" s="40">
        <f t="shared" si="7"/>
        <v>19974.893</v>
      </c>
      <c r="H36" s="41">
        <f t="shared" si="0"/>
        <v>0.0112206654507381</v>
      </c>
      <c r="I36" s="40">
        <f t="shared" si="1"/>
        <v>12042.29724212322</v>
      </c>
      <c r="J36" s="40"/>
      <c r="K36" s="40">
        <f>K34+K35</f>
        <v>2000.22</v>
      </c>
      <c r="L36" s="40">
        <f>L34+L35</f>
        <v>9875.565</v>
      </c>
      <c r="M36" s="40">
        <f>M34+M35</f>
        <v>5256.700999999999</v>
      </c>
      <c r="N36" s="40">
        <f t="shared" si="6"/>
        <v>4070.9480000000003</v>
      </c>
      <c r="O36" s="40">
        <f t="shared" si="8"/>
        <v>21203.433999999997</v>
      </c>
      <c r="P36" s="41">
        <f t="shared" si="2"/>
        <v>0.011083014081798447</v>
      </c>
      <c r="Q36" s="40">
        <f t="shared" si="3"/>
        <v>11104.957917695732</v>
      </c>
      <c r="R36" s="40"/>
      <c r="S36" s="40">
        <f>(I36+Q36)/2</f>
        <v>11573.627579909476</v>
      </c>
      <c r="T36" s="40">
        <f>T34+T35</f>
        <v>4070.9480000000003</v>
      </c>
      <c r="U36" s="22">
        <f>T36/S36</f>
        <v>0.3517434764417952</v>
      </c>
      <c r="V36" s="6"/>
      <c r="W36"/>
      <c r="X36"/>
    </row>
    <row r="37" spans="1:24" ht="12.75">
      <c r="A37" s="20">
        <v>19.2</v>
      </c>
      <c r="B37" s="20" t="s">
        <v>61</v>
      </c>
      <c r="C37" s="40">
        <v>40556.961</v>
      </c>
      <c r="D37" s="40">
        <v>100170.637</v>
      </c>
      <c r="E37" s="40">
        <v>25843.818</v>
      </c>
      <c r="F37" s="40">
        <v>147420.978</v>
      </c>
      <c r="G37" s="40">
        <f t="shared" si="7"/>
        <v>313992.394</v>
      </c>
      <c r="H37" s="41">
        <f t="shared" si="0"/>
        <v>0.17638160100033304</v>
      </c>
      <c r="I37" s="40">
        <f t="shared" si="1"/>
        <v>189297.1211567375</v>
      </c>
      <c r="J37" s="40"/>
      <c r="K37" s="40">
        <v>44263.084</v>
      </c>
      <c r="L37" s="40">
        <v>115410.019</v>
      </c>
      <c r="M37" s="40">
        <v>21603.91</v>
      </c>
      <c r="N37" s="40">
        <f t="shared" si="6"/>
        <v>137189.795</v>
      </c>
      <c r="O37" s="40">
        <f t="shared" si="8"/>
        <v>318466.808</v>
      </c>
      <c r="P37" s="41">
        <f t="shared" si="2"/>
        <v>0.16646228708280944</v>
      </c>
      <c r="Q37" s="40">
        <f t="shared" si="3"/>
        <v>166791.87442104364</v>
      </c>
      <c r="R37" s="40"/>
      <c r="S37" s="40">
        <f t="shared" si="4"/>
        <v>178044.49778889056</v>
      </c>
      <c r="T37" s="40">
        <v>137189.795</v>
      </c>
      <c r="U37" s="22">
        <f t="shared" si="5"/>
        <v>0.7705365608246291</v>
      </c>
      <c r="V37" s="6"/>
      <c r="W37"/>
      <c r="X37"/>
    </row>
    <row r="38" spans="1:24" ht="12.75">
      <c r="A38" s="20">
        <v>19.4</v>
      </c>
      <c r="B38" s="20" t="s">
        <v>62</v>
      </c>
      <c r="C38" s="40">
        <v>15986.405</v>
      </c>
      <c r="D38" s="40">
        <v>43162.182</v>
      </c>
      <c r="E38" s="40">
        <v>7245.891</v>
      </c>
      <c r="F38" s="40">
        <v>33228.374</v>
      </c>
      <c r="G38" s="40">
        <f t="shared" si="7"/>
        <v>99622.85200000001</v>
      </c>
      <c r="H38" s="41">
        <f t="shared" si="0"/>
        <v>0.0559619865568439</v>
      </c>
      <c r="I38" s="40">
        <f t="shared" si="1"/>
        <v>60059.79585933452</v>
      </c>
      <c r="J38" s="40"/>
      <c r="K38" s="40">
        <v>18141.229</v>
      </c>
      <c r="L38" s="40">
        <v>49454.874</v>
      </c>
      <c r="M38" s="40">
        <v>7726.657</v>
      </c>
      <c r="N38" s="40">
        <f t="shared" si="6"/>
        <v>36533.926</v>
      </c>
      <c r="O38" s="40">
        <f t="shared" si="8"/>
        <v>111856.68600000002</v>
      </c>
      <c r="P38" s="41">
        <f t="shared" si="2"/>
        <v>0.05846737967450496</v>
      </c>
      <c r="Q38" s="40">
        <f t="shared" si="3"/>
        <v>58583.14227982626</v>
      </c>
      <c r="R38" s="40"/>
      <c r="S38" s="40">
        <f t="shared" si="4"/>
        <v>59321.46906958039</v>
      </c>
      <c r="T38" s="40">
        <v>36533.926</v>
      </c>
      <c r="U38" s="22">
        <f t="shared" si="5"/>
        <v>0.6158634735958407</v>
      </c>
      <c r="V38" s="6"/>
      <c r="W38"/>
      <c r="X38"/>
    </row>
    <row r="39" spans="1:24" ht="12.75">
      <c r="A39" s="20">
        <v>21.1</v>
      </c>
      <c r="B39" s="20" t="s">
        <v>97</v>
      </c>
      <c r="C39" s="40">
        <v>33886.575</v>
      </c>
      <c r="D39" s="40">
        <v>6893.397</v>
      </c>
      <c r="E39" s="40">
        <f>'Data Page'!O13*'Leverage Factors'!E41</f>
        <v>2299.7772518009638</v>
      </c>
      <c r="F39" s="40">
        <f>'Data Page'!F13*'Leverage Factors'!F41</f>
        <v>102070.62224183086</v>
      </c>
      <c r="G39" s="40">
        <f t="shared" si="7"/>
        <v>145150.37149363183</v>
      </c>
      <c r="H39" s="41">
        <f t="shared" si="0"/>
        <v>0.08153654483057282</v>
      </c>
      <c r="I39" s="40">
        <f t="shared" si="1"/>
        <v>87507.04788911378</v>
      </c>
      <c r="J39" s="40"/>
      <c r="K39" s="40">
        <v>37081.605</v>
      </c>
      <c r="L39" s="40">
        <v>9793.187</v>
      </c>
      <c r="M39" s="40">
        <v>3391.297</v>
      </c>
      <c r="N39" s="40">
        <f t="shared" si="6"/>
        <v>109706.848</v>
      </c>
      <c r="O39" s="40">
        <f t="shared" si="8"/>
        <v>159972.937</v>
      </c>
      <c r="P39" s="41">
        <f t="shared" si="2"/>
        <v>0.08361769671260118</v>
      </c>
      <c r="Q39" s="40">
        <f t="shared" si="3"/>
        <v>83783.25573844269</v>
      </c>
      <c r="R39" s="40"/>
      <c r="S39" s="40">
        <f>(I39+Q39)/2</f>
        <v>85645.15181377824</v>
      </c>
      <c r="T39" s="40">
        <v>109706.848</v>
      </c>
      <c r="U39" s="22">
        <f>T39/S39</f>
        <v>1.2809463895696056</v>
      </c>
      <c r="V39" s="6"/>
      <c r="W39"/>
      <c r="X39"/>
    </row>
    <row r="40" spans="1:24" ht="12.75">
      <c r="A40" s="20">
        <v>21.2</v>
      </c>
      <c r="B40" s="20" t="s">
        <v>98</v>
      </c>
      <c r="C40" s="40">
        <v>4900.602</v>
      </c>
      <c r="D40" s="40">
        <v>1508.588</v>
      </c>
      <c r="E40" s="40">
        <f>'Data Page'!O14*'Leverage Factors'!E41</f>
        <v>1242.3217481990362</v>
      </c>
      <c r="F40" s="40">
        <f>'Data Page'!F14*'Leverage Factors'!F41</f>
        <v>11240.283758169136</v>
      </c>
      <c r="G40" s="40">
        <f t="shared" si="7"/>
        <v>18891.795506368173</v>
      </c>
      <c r="H40" s="41">
        <f t="shared" si="0"/>
        <v>0.01061224794249034</v>
      </c>
      <c r="I40" s="40">
        <f t="shared" si="1"/>
        <v>11389.328439711457</v>
      </c>
      <c r="J40" s="40"/>
      <c r="K40" s="40">
        <v>5472.817</v>
      </c>
      <c r="L40" s="40">
        <v>1692.222</v>
      </c>
      <c r="M40" s="40">
        <v>382.701</v>
      </c>
      <c r="N40" s="40">
        <f t="shared" si="6"/>
        <v>11705.708</v>
      </c>
      <c r="O40" s="40">
        <f t="shared" si="8"/>
        <v>19253.448</v>
      </c>
      <c r="P40" s="41">
        <f t="shared" si="2"/>
        <v>0.010063758318920141</v>
      </c>
      <c r="Q40" s="40">
        <f t="shared" si="3"/>
        <v>10083.684077331203</v>
      </c>
      <c r="R40" s="40"/>
      <c r="S40" s="40">
        <f>(I40+Q40)/2</f>
        <v>10736.50625852133</v>
      </c>
      <c r="T40" s="40">
        <v>11705.708</v>
      </c>
      <c r="U40" s="22">
        <f>T40/S40</f>
        <v>1.0902716133294696</v>
      </c>
      <c r="V40" s="6"/>
      <c r="W40"/>
      <c r="X40"/>
    </row>
    <row r="41" spans="1:24" ht="12.75">
      <c r="A41" s="20">
        <v>21</v>
      </c>
      <c r="B41" s="20" t="s">
        <v>63</v>
      </c>
      <c r="C41" s="40">
        <f>C39+C40</f>
        <v>38787.176999999996</v>
      </c>
      <c r="D41" s="40">
        <f>D39+D40</f>
        <v>8401.985</v>
      </c>
      <c r="E41" s="40">
        <v>3542.099</v>
      </c>
      <c r="F41" s="40">
        <v>113310.906</v>
      </c>
      <c r="G41" s="40">
        <f t="shared" si="7"/>
        <v>164042.16700000002</v>
      </c>
      <c r="H41" s="41">
        <f t="shared" si="0"/>
        <v>0.09214879277306318</v>
      </c>
      <c r="I41" s="40">
        <f t="shared" si="1"/>
        <v>98896.37632882525</v>
      </c>
      <c r="J41" s="40"/>
      <c r="K41" s="40">
        <f>K39+K40</f>
        <v>42554.422000000006</v>
      </c>
      <c r="L41" s="40">
        <f>L39+L40</f>
        <v>11485.409</v>
      </c>
      <c r="M41" s="40">
        <f>M39+M40</f>
        <v>3773.998</v>
      </c>
      <c r="N41" s="40">
        <f t="shared" si="6"/>
        <v>121412.556</v>
      </c>
      <c r="O41" s="40">
        <f t="shared" si="8"/>
        <v>179226.385</v>
      </c>
      <c r="P41" s="41">
        <f t="shared" si="2"/>
        <v>0.09368145503152131</v>
      </c>
      <c r="Q41" s="40">
        <f t="shared" si="3"/>
        <v>93866.93981577389</v>
      </c>
      <c r="R41" s="40"/>
      <c r="S41" s="40">
        <f t="shared" si="4"/>
        <v>96381.65807229957</v>
      </c>
      <c r="T41" s="40">
        <f>T39+T40</f>
        <v>121412.556</v>
      </c>
      <c r="U41" s="22">
        <f t="shared" si="5"/>
        <v>1.2597060315036683</v>
      </c>
      <c r="V41" s="6"/>
      <c r="W41"/>
      <c r="X41"/>
    </row>
    <row r="42" spans="1:24" ht="12.75">
      <c r="A42" s="20">
        <v>22</v>
      </c>
      <c r="B42" s="20" t="s">
        <v>64</v>
      </c>
      <c r="C42" s="40">
        <v>818.79</v>
      </c>
      <c r="D42" s="40">
        <v>1892.063</v>
      </c>
      <c r="E42" s="40">
        <v>304.463</v>
      </c>
      <c r="F42" s="40">
        <v>1588.912</v>
      </c>
      <c r="G42" s="40">
        <f t="shared" si="7"/>
        <v>4604.228</v>
      </c>
      <c r="H42" s="41">
        <f t="shared" si="0"/>
        <v>0.002586371904316133</v>
      </c>
      <c r="I42" s="40">
        <f t="shared" si="1"/>
        <v>2775.7586559540778</v>
      </c>
      <c r="J42" s="40"/>
      <c r="K42" s="40">
        <v>917.76</v>
      </c>
      <c r="L42" s="40">
        <v>2118.902</v>
      </c>
      <c r="M42" s="40">
        <v>338.821</v>
      </c>
      <c r="N42" s="40">
        <f t="shared" si="6"/>
        <v>1797.366</v>
      </c>
      <c r="O42" s="40">
        <f t="shared" si="8"/>
        <v>5172.849</v>
      </c>
      <c r="P42" s="41">
        <f t="shared" si="2"/>
        <v>0.0027038430807961116</v>
      </c>
      <c r="Q42" s="40">
        <f t="shared" si="3"/>
        <v>2709.19656031162</v>
      </c>
      <c r="R42" s="40"/>
      <c r="S42" s="40">
        <f t="shared" si="4"/>
        <v>2742.477608132849</v>
      </c>
      <c r="T42" s="40">
        <v>1797.366</v>
      </c>
      <c r="U42" s="22">
        <f t="shared" si="5"/>
        <v>0.6553803738159576</v>
      </c>
      <c r="V42" s="6"/>
      <c r="W42"/>
      <c r="X42"/>
    </row>
    <row r="43" spans="1:24" ht="12.75">
      <c r="A43" s="20">
        <v>23</v>
      </c>
      <c r="B43" s="20" t="s">
        <v>65</v>
      </c>
      <c r="C43" s="40">
        <v>737.355</v>
      </c>
      <c r="D43" s="40">
        <v>1191.776</v>
      </c>
      <c r="E43" s="40">
        <v>181.124</v>
      </c>
      <c r="F43" s="40">
        <v>1313.387</v>
      </c>
      <c r="G43" s="40">
        <f t="shared" si="7"/>
        <v>3423.642</v>
      </c>
      <c r="H43" s="41">
        <f t="shared" si="0"/>
        <v>0.0019231913535204365</v>
      </c>
      <c r="I43" s="40">
        <f t="shared" si="1"/>
        <v>2064.016794213477</v>
      </c>
      <c r="J43" s="40"/>
      <c r="K43" s="40">
        <v>764.439</v>
      </c>
      <c r="L43" s="40">
        <v>1233.529</v>
      </c>
      <c r="M43" s="40">
        <v>177.011</v>
      </c>
      <c r="N43" s="40">
        <f t="shared" si="6"/>
        <v>1346.321</v>
      </c>
      <c r="O43" s="40">
        <f t="shared" si="8"/>
        <v>3521.2999999999997</v>
      </c>
      <c r="P43" s="41">
        <f t="shared" si="2"/>
        <v>0.0018405800440738453</v>
      </c>
      <c r="Q43" s="40">
        <f t="shared" si="3"/>
        <v>1844.2243042132695</v>
      </c>
      <c r="R43" s="40"/>
      <c r="S43" s="40">
        <f t="shared" si="4"/>
        <v>1954.1205492133734</v>
      </c>
      <c r="T43" s="40">
        <v>1346.321</v>
      </c>
      <c r="U43" s="22">
        <f t="shared" si="5"/>
        <v>0.6889651718477441</v>
      </c>
      <c r="V43" s="6"/>
      <c r="W43"/>
      <c r="X43"/>
    </row>
    <row r="44" spans="1:24" ht="12.75">
      <c r="A44" s="20">
        <v>24</v>
      </c>
      <c r="B44" s="20" t="s">
        <v>66</v>
      </c>
      <c r="C44" s="40">
        <v>4554.614</v>
      </c>
      <c r="D44" s="40">
        <v>3725.189</v>
      </c>
      <c r="E44" s="40">
        <v>726.922</v>
      </c>
      <c r="F44" s="40">
        <v>6802.059</v>
      </c>
      <c r="G44" s="40">
        <f t="shared" si="7"/>
        <v>15808.784</v>
      </c>
      <c r="H44" s="41">
        <f t="shared" si="0"/>
        <v>0.00888040183479237</v>
      </c>
      <c r="I44" s="40">
        <f t="shared" si="1"/>
        <v>9530.668122453606</v>
      </c>
      <c r="J44" s="40"/>
      <c r="K44" s="40">
        <v>5299.91</v>
      </c>
      <c r="L44" s="40">
        <v>3798.041</v>
      </c>
      <c r="M44" s="40">
        <v>796.819</v>
      </c>
      <c r="N44" s="40">
        <f t="shared" si="6"/>
        <v>7495.553</v>
      </c>
      <c r="O44" s="40">
        <f t="shared" si="8"/>
        <v>17390.323</v>
      </c>
      <c r="P44" s="41">
        <f t="shared" si="2"/>
        <v>0.009089904715246759</v>
      </c>
      <c r="Q44" s="40">
        <f t="shared" si="3"/>
        <v>9107.90229026752</v>
      </c>
      <c r="R44" s="40"/>
      <c r="S44" s="40">
        <f t="shared" si="4"/>
        <v>9319.285206360564</v>
      </c>
      <c r="T44" s="40">
        <v>7495.553</v>
      </c>
      <c r="U44" s="22">
        <f t="shared" si="5"/>
        <v>0.8043055700113312</v>
      </c>
      <c r="V44" s="6"/>
      <c r="W44"/>
      <c r="X44"/>
    </row>
    <row r="45" spans="1:24" ht="12.75">
      <c r="A45" s="20">
        <v>26</v>
      </c>
      <c r="B45" s="20" t="s">
        <v>67</v>
      </c>
      <c r="C45" s="40">
        <v>219.138</v>
      </c>
      <c r="D45" s="40">
        <v>292.62</v>
      </c>
      <c r="E45" s="40">
        <v>61.121</v>
      </c>
      <c r="F45" s="40">
        <v>387.594</v>
      </c>
      <c r="G45" s="40">
        <f t="shared" si="7"/>
        <v>960.473</v>
      </c>
      <c r="H45" s="41">
        <f t="shared" si="0"/>
        <v>0.0005395346151524705</v>
      </c>
      <c r="I45" s="40">
        <f t="shared" si="1"/>
        <v>579.0419682865794</v>
      </c>
      <c r="J45" s="40"/>
      <c r="K45" s="40">
        <v>275.939</v>
      </c>
      <c r="L45" s="40">
        <v>378.77</v>
      </c>
      <c r="M45" s="40">
        <v>65.886</v>
      </c>
      <c r="N45" s="40">
        <f t="shared" si="6"/>
        <v>496.196</v>
      </c>
      <c r="O45" s="40">
        <f t="shared" si="8"/>
        <v>1216.7910000000002</v>
      </c>
      <c r="P45" s="41">
        <f t="shared" si="2"/>
        <v>0.0006360154580435233</v>
      </c>
      <c r="Q45" s="40">
        <f t="shared" si="3"/>
        <v>637.2747381217075</v>
      </c>
      <c r="R45" s="40"/>
      <c r="S45" s="40">
        <f t="shared" si="4"/>
        <v>608.1583532041434</v>
      </c>
      <c r="T45" s="40">
        <v>496.196</v>
      </c>
      <c r="U45" s="22">
        <f t="shared" si="5"/>
        <v>0.8158993416529454</v>
      </c>
      <c r="V45" s="6"/>
      <c r="W45"/>
      <c r="X45"/>
    </row>
    <row r="46" spans="1:24" ht="12.75">
      <c r="A46" s="20">
        <v>27</v>
      </c>
      <c r="B46" s="20" t="s">
        <v>75</v>
      </c>
      <c r="C46" s="40">
        <v>1604.53</v>
      </c>
      <c r="D46" s="40">
        <v>1524.808</v>
      </c>
      <c r="E46" s="40">
        <v>86.396</v>
      </c>
      <c r="F46" s="40">
        <v>3175.693</v>
      </c>
      <c r="G46" s="40">
        <f t="shared" si="7"/>
        <v>6391.427</v>
      </c>
      <c r="H46" s="41">
        <f t="shared" si="0"/>
        <v>0.0035903103020283847</v>
      </c>
      <c r="I46" s="40">
        <f t="shared" si="1"/>
        <v>3853.2103143346944</v>
      </c>
      <c r="J46" s="40"/>
      <c r="K46" s="40">
        <v>1762.741</v>
      </c>
      <c r="L46" s="40">
        <v>1352.363</v>
      </c>
      <c r="M46" s="40">
        <v>92.902</v>
      </c>
      <c r="N46" s="40">
        <f t="shared" si="6"/>
        <v>3482.995</v>
      </c>
      <c r="O46" s="40">
        <f t="shared" si="8"/>
        <v>6691.001</v>
      </c>
      <c r="P46" s="41">
        <f t="shared" si="2"/>
        <v>0.0034973796369176567</v>
      </c>
      <c r="Q46" s="40">
        <f t="shared" si="3"/>
        <v>3504.3042807245315</v>
      </c>
      <c r="R46" s="40"/>
      <c r="S46" s="40">
        <f t="shared" si="4"/>
        <v>3678.757297529613</v>
      </c>
      <c r="T46" s="40">
        <v>3482.995</v>
      </c>
      <c r="U46" s="22">
        <f t="shared" si="5"/>
        <v>0.9467857535312066</v>
      </c>
      <c r="V46" s="6"/>
      <c r="W46"/>
      <c r="X46"/>
    </row>
    <row r="47" spans="1:24" ht="12.75">
      <c r="A47" s="20">
        <v>28</v>
      </c>
      <c r="B47" s="20" t="s">
        <v>73</v>
      </c>
      <c r="C47" s="40">
        <v>1249.75</v>
      </c>
      <c r="D47" s="40">
        <v>1147.207</v>
      </c>
      <c r="E47" s="40">
        <v>80.461</v>
      </c>
      <c r="F47" s="40">
        <v>1852.522</v>
      </c>
      <c r="G47" s="40">
        <f t="shared" si="7"/>
        <v>4329.9400000000005</v>
      </c>
      <c r="H47" s="41">
        <f t="shared" si="0"/>
        <v>0.0024322937880953324</v>
      </c>
      <c r="I47" s="40">
        <f t="shared" si="1"/>
        <v>2610.398189395008</v>
      </c>
      <c r="J47" s="40"/>
      <c r="K47" s="40">
        <v>1238.049</v>
      </c>
      <c r="L47" s="40">
        <v>1275.052</v>
      </c>
      <c r="M47" s="40">
        <v>77.319</v>
      </c>
      <c r="N47" s="40">
        <f t="shared" si="6"/>
        <v>2189.515</v>
      </c>
      <c r="O47" s="40">
        <f t="shared" si="8"/>
        <v>4779.9349999999995</v>
      </c>
      <c r="P47" s="41">
        <f t="shared" si="2"/>
        <v>0.002498467319731382</v>
      </c>
      <c r="Q47" s="40">
        <f t="shared" si="3"/>
        <v>2503.4141650980187</v>
      </c>
      <c r="R47" s="40"/>
      <c r="S47" s="40">
        <f t="shared" si="4"/>
        <v>2556.9061772465134</v>
      </c>
      <c r="T47" s="40">
        <v>2189.515</v>
      </c>
      <c r="U47" s="22">
        <f t="shared" si="5"/>
        <v>0.8563141735446271</v>
      </c>
      <c r="V47" s="6"/>
      <c r="W47"/>
      <c r="X47"/>
    </row>
    <row r="48" spans="1:24" ht="12.75">
      <c r="A48" s="20">
        <v>29</v>
      </c>
      <c r="B48" s="20" t="s">
        <v>68</v>
      </c>
      <c r="C48" s="40">
        <v>307.826</v>
      </c>
      <c r="D48" s="40">
        <v>5298.106</v>
      </c>
      <c r="E48" s="40">
        <v>270.761</v>
      </c>
      <c r="F48" s="40">
        <v>5240.824</v>
      </c>
      <c r="G48" s="40">
        <f t="shared" si="7"/>
        <v>11117.517</v>
      </c>
      <c r="H48" s="41">
        <f t="shared" si="0"/>
        <v>0.006245136777448245</v>
      </c>
      <c r="I48" s="40">
        <f t="shared" si="1"/>
        <v>6702.436118599385</v>
      </c>
      <c r="J48" s="40"/>
      <c r="K48" s="40">
        <v>225.904</v>
      </c>
      <c r="L48" s="40">
        <v>4488.842</v>
      </c>
      <c r="M48" s="40">
        <v>246.445</v>
      </c>
      <c r="N48" s="40">
        <f t="shared" si="6"/>
        <v>387.504</v>
      </c>
      <c r="O48" s="40">
        <f t="shared" si="8"/>
        <v>5348.694999999999</v>
      </c>
      <c r="P48" s="41">
        <f t="shared" si="2"/>
        <v>0.0027957576119153594</v>
      </c>
      <c r="Q48" s="40">
        <f t="shared" si="3"/>
        <v>2801.2930777905867</v>
      </c>
      <c r="R48" s="40"/>
      <c r="S48" s="40">
        <f t="shared" si="4"/>
        <v>4751.864598194986</v>
      </c>
      <c r="T48" s="40">
        <v>387.504</v>
      </c>
      <c r="U48" s="22">
        <f t="shared" si="5"/>
        <v>0.08154777813896358</v>
      </c>
      <c r="V48" s="6"/>
      <c r="W48"/>
      <c r="X48"/>
    </row>
    <row r="49" spans="1:24" ht="12.75">
      <c r="A49" s="20">
        <v>30</v>
      </c>
      <c r="B49" s="20" t="s">
        <v>125</v>
      </c>
      <c r="C49" s="40">
        <v>2978.775</v>
      </c>
      <c r="D49" s="40">
        <v>155.94</v>
      </c>
      <c r="E49" s="40">
        <v>4.984</v>
      </c>
      <c r="F49" s="40">
        <v>1198.547</v>
      </c>
      <c r="G49" s="40">
        <f>+C49+D49+E49+F49</f>
        <v>4338.246</v>
      </c>
      <c r="H49" s="41">
        <f t="shared" si="0"/>
        <v>0.002436959587668518</v>
      </c>
      <c r="I49" s="40">
        <f t="shared" si="1"/>
        <v>2615.4056415447176</v>
      </c>
      <c r="J49" s="40"/>
      <c r="K49" s="40">
        <v>3037.418</v>
      </c>
      <c r="L49" s="40">
        <v>151.791</v>
      </c>
      <c r="M49" s="40">
        <v>9.402</v>
      </c>
      <c r="N49" s="40">
        <f>T49</f>
        <v>1192.725</v>
      </c>
      <c r="O49" s="40">
        <f>+K49+L49+M49+N49</f>
        <v>4391.336</v>
      </c>
      <c r="P49" s="41">
        <f t="shared" si="2"/>
        <v>0.0022953470049195085</v>
      </c>
      <c r="Q49" s="40">
        <f t="shared" si="3"/>
        <v>2299.891681812593</v>
      </c>
      <c r="R49" s="40"/>
      <c r="S49" s="40">
        <f>(I49+Q49)/2</f>
        <v>2457.648661678655</v>
      </c>
      <c r="T49" s="40">
        <v>1192.725</v>
      </c>
      <c r="U49" s="22">
        <f>T49/S49</f>
        <v>0.4853114355187488</v>
      </c>
      <c r="V49" s="6"/>
      <c r="W49"/>
      <c r="X49"/>
    </row>
    <row r="50" spans="1:24" ht="12.75">
      <c r="A50" s="20">
        <v>31</v>
      </c>
      <c r="B50" s="20" t="s">
        <v>69</v>
      </c>
      <c r="C50" s="40">
        <v>3562.665</v>
      </c>
      <c r="D50" s="40">
        <v>17500.313</v>
      </c>
      <c r="E50" s="40">
        <v>541.364</v>
      </c>
      <c r="F50" s="40">
        <v>11876.294</v>
      </c>
      <c r="G50" s="40">
        <f t="shared" si="7"/>
        <v>33480.636</v>
      </c>
      <c r="H50" s="41">
        <f t="shared" si="0"/>
        <v>0.01880736060182842</v>
      </c>
      <c r="I50" s="40">
        <f t="shared" si="1"/>
        <v>20184.527174555147</v>
      </c>
      <c r="J50" s="40"/>
      <c r="K50" s="40">
        <v>4452.737</v>
      </c>
      <c r="L50" s="40">
        <v>19441.388</v>
      </c>
      <c r="M50" s="40">
        <v>578.969</v>
      </c>
      <c r="N50" s="40">
        <f t="shared" si="6"/>
        <v>13276.895</v>
      </c>
      <c r="O50" s="40">
        <f t="shared" si="8"/>
        <v>37749.989</v>
      </c>
      <c r="P50" s="41">
        <f t="shared" si="2"/>
        <v>0.01973188209394462</v>
      </c>
      <c r="Q50" s="40">
        <f t="shared" si="3"/>
        <v>19770.95027336029</v>
      </c>
      <c r="R50" s="40"/>
      <c r="S50" s="40">
        <f t="shared" si="4"/>
        <v>19977.73872395772</v>
      </c>
      <c r="T50" s="40">
        <v>13276.895</v>
      </c>
      <c r="U50" s="22">
        <f t="shared" si="5"/>
        <v>0.6645844749224832</v>
      </c>
      <c r="V50" s="6"/>
      <c r="W50"/>
      <c r="X50"/>
    </row>
    <row r="51" spans="1:24" ht="12.75">
      <c r="A51" s="20">
        <v>32</v>
      </c>
      <c r="B51" s="20" t="s">
        <v>70</v>
      </c>
      <c r="C51" s="40">
        <v>3565.947</v>
      </c>
      <c r="D51" s="40">
        <v>31037.533</v>
      </c>
      <c r="E51" s="40">
        <v>2684.64</v>
      </c>
      <c r="F51" s="40">
        <v>7905.047</v>
      </c>
      <c r="G51" s="40">
        <f t="shared" si="7"/>
        <v>45193.166999999994</v>
      </c>
      <c r="H51" s="41">
        <f t="shared" si="0"/>
        <v>0.025386739621901216</v>
      </c>
      <c r="I51" s="40">
        <f t="shared" si="1"/>
        <v>27245.68038121226</v>
      </c>
      <c r="J51" s="40"/>
      <c r="K51" s="40">
        <v>4103.384</v>
      </c>
      <c r="L51" s="40">
        <v>32275.016</v>
      </c>
      <c r="M51" s="40">
        <v>2796.155</v>
      </c>
      <c r="N51" s="40">
        <f t="shared" si="6"/>
        <v>9014.543</v>
      </c>
      <c r="O51" s="40">
        <f t="shared" si="8"/>
        <v>48189.098</v>
      </c>
      <c r="P51" s="41">
        <f t="shared" si="2"/>
        <v>0.025188394093294764</v>
      </c>
      <c r="Q51" s="40">
        <f t="shared" si="3"/>
        <v>25238.26590455657</v>
      </c>
      <c r="R51" s="40"/>
      <c r="S51" s="40">
        <f t="shared" si="4"/>
        <v>26241.973142884417</v>
      </c>
      <c r="T51" s="40">
        <v>9014.543</v>
      </c>
      <c r="U51" s="22">
        <f t="shared" si="5"/>
        <v>0.343516204018535</v>
      </c>
      <c r="V51" s="6"/>
      <c r="W51"/>
      <c r="X51"/>
    </row>
    <row r="52" spans="1:24" ht="12.75">
      <c r="A52" s="20">
        <v>33</v>
      </c>
      <c r="B52" s="20" t="s">
        <v>71</v>
      </c>
      <c r="C52" s="40">
        <v>234.66</v>
      </c>
      <c r="D52" s="40">
        <v>709.028</v>
      </c>
      <c r="E52" s="40">
        <v>32.082</v>
      </c>
      <c r="F52" s="40">
        <v>462.87</v>
      </c>
      <c r="G52" s="40">
        <f t="shared" si="7"/>
        <v>1438.6399999999999</v>
      </c>
      <c r="H52" s="41">
        <f t="shared" si="0"/>
        <v>0.0008081394050045655</v>
      </c>
      <c r="I52" s="40">
        <f t="shared" si="1"/>
        <v>867.315309494181</v>
      </c>
      <c r="J52" s="40"/>
      <c r="K52" s="40">
        <v>407.188</v>
      </c>
      <c r="L52" s="40">
        <v>815.025</v>
      </c>
      <c r="M52" s="40">
        <v>35.258</v>
      </c>
      <c r="N52" s="40">
        <f t="shared" si="6"/>
        <v>515.415</v>
      </c>
      <c r="O52" s="40">
        <f t="shared" si="8"/>
        <v>1772.886</v>
      </c>
      <c r="P52" s="41">
        <f t="shared" si="2"/>
        <v>0.0009266857671933387</v>
      </c>
      <c r="Q52" s="40">
        <f t="shared" si="3"/>
        <v>928.5205605314648</v>
      </c>
      <c r="R52" s="40"/>
      <c r="S52" s="40">
        <f t="shared" si="4"/>
        <v>897.9179350128229</v>
      </c>
      <c r="T52" s="40">
        <v>515.415</v>
      </c>
      <c r="U52" s="22">
        <f t="shared" si="5"/>
        <v>0.5740112541494558</v>
      </c>
      <c r="V52" s="6"/>
      <c r="W52"/>
      <c r="X52"/>
    </row>
    <row r="53" spans="1:24" ht="12.75">
      <c r="A53" s="20">
        <v>34</v>
      </c>
      <c r="B53" s="20" t="s">
        <v>72</v>
      </c>
      <c r="C53" s="40">
        <v>680.579</v>
      </c>
      <c r="D53" s="40">
        <v>17.654</v>
      </c>
      <c r="E53" s="40">
        <v>103.555</v>
      </c>
      <c r="F53" s="40">
        <v>774.555</v>
      </c>
      <c r="G53" s="40">
        <f t="shared" si="7"/>
        <v>1576.3429999999998</v>
      </c>
      <c r="H53" s="41">
        <f t="shared" si="0"/>
        <v>0.0008854924749090195</v>
      </c>
      <c r="I53" s="40">
        <f t="shared" si="1"/>
        <v>950.3325480411957</v>
      </c>
      <c r="J53" s="40"/>
      <c r="K53" s="40">
        <v>776.11</v>
      </c>
      <c r="L53" s="40">
        <v>79.13</v>
      </c>
      <c r="M53" s="40">
        <v>82.489</v>
      </c>
      <c r="N53" s="40">
        <f t="shared" si="6"/>
        <v>869.995</v>
      </c>
      <c r="O53" s="40">
        <f t="shared" si="8"/>
        <v>1807.7240000000002</v>
      </c>
      <c r="P53" s="41">
        <f t="shared" si="2"/>
        <v>0.0009448955555031802</v>
      </c>
      <c r="Q53" s="40">
        <f t="shared" si="3"/>
        <v>946.7664033480899</v>
      </c>
      <c r="R53" s="40"/>
      <c r="S53" s="40">
        <f t="shared" si="4"/>
        <v>948.5494756946428</v>
      </c>
      <c r="T53" s="40">
        <v>869.995</v>
      </c>
      <c r="U53" s="22">
        <f t="shared" si="5"/>
        <v>0.9171846301036478</v>
      </c>
      <c r="V53" s="6"/>
      <c r="W53"/>
      <c r="X53"/>
    </row>
    <row r="54" spans="1:24" ht="12.75">
      <c r="A54" s="20"/>
      <c r="B54" s="20" t="s">
        <v>17</v>
      </c>
      <c r="C54" s="40">
        <f aca="true" t="shared" si="9" ref="C54:I54">(SUM(C11:C53))-C17-C24-C33-C36-C41</f>
        <v>306067.41700000013</v>
      </c>
      <c r="D54" s="40">
        <f t="shared" si="9"/>
        <v>647557.954</v>
      </c>
      <c r="E54" s="40">
        <f t="shared" si="9"/>
        <v>132433.02000000002</v>
      </c>
      <c r="F54" s="40">
        <f t="shared" si="9"/>
        <v>694129.5210000001</v>
      </c>
      <c r="G54" s="40">
        <f t="shared" si="9"/>
        <v>1780187.912</v>
      </c>
      <c r="H54" s="55">
        <f t="shared" si="9"/>
        <v>0.9999999999999999</v>
      </c>
      <c r="I54" s="40">
        <f t="shared" si="9"/>
        <v>1073224.8720000002</v>
      </c>
      <c r="J54" s="40"/>
      <c r="K54" s="40">
        <f>(SUM(K11:K53))-K17-K24-K33-K36-K41</f>
        <v>337015.815</v>
      </c>
      <c r="L54" s="40">
        <f>(SUM(L11:L53))-L17-L24-L33-L36-L41</f>
        <v>706414.605</v>
      </c>
      <c r="M54" s="40">
        <f>(SUM(M11:M53))-M17-M24-M33-M36-M41</f>
        <v>133415.05599999998</v>
      </c>
      <c r="N54" s="40">
        <f>(SUM(N11:N53))-N17-N24-N33-N36-N41</f>
        <v>736301.421</v>
      </c>
      <c r="O54" s="40">
        <f>(SUM(O11:O53))-O17-O24-O33-O36-O41</f>
        <v>1913146.8969999996</v>
      </c>
      <c r="P54" s="41">
        <f t="shared" si="2"/>
        <v>1</v>
      </c>
      <c r="Q54" s="40">
        <f t="shared" si="3"/>
        <v>1001979.952</v>
      </c>
      <c r="R54" s="40"/>
      <c r="S54" s="40">
        <f>(SUM(S11:S53))-S17-S24-S33-S36-S41</f>
        <v>1037602.412</v>
      </c>
      <c r="T54" s="40">
        <f>(SUM(T11:T53))-T17-T24-T33-T36-T41</f>
        <v>736301.421</v>
      </c>
      <c r="U54" s="22">
        <f t="shared" si="5"/>
        <v>0.7096180699703307</v>
      </c>
      <c r="V54" s="6"/>
      <c r="W54"/>
      <c r="X54"/>
    </row>
    <row r="55" spans="1:24" ht="12.75" customHeight="1">
      <c r="A55" s="24"/>
      <c r="B55" s="25"/>
      <c r="C55" s="24"/>
      <c r="D55" s="24"/>
      <c r="E55" s="21"/>
      <c r="F55" s="21"/>
      <c r="G55" s="25"/>
      <c r="H55" s="25"/>
      <c r="I55" s="25"/>
      <c r="J55" s="25"/>
      <c r="K55" s="24"/>
      <c r="L55" s="24"/>
      <c r="M55" s="24"/>
      <c r="N55" s="25"/>
      <c r="O55" s="25"/>
      <c r="P55" s="25"/>
      <c r="Q55" s="25"/>
      <c r="R55" s="25"/>
      <c r="S55" s="25"/>
      <c r="T55" s="21"/>
      <c r="U55" s="21"/>
      <c r="V55" s="2"/>
      <c r="W55"/>
      <c r="X55"/>
    </row>
    <row r="56" spans="1:24" ht="12.75">
      <c r="A56" s="24"/>
      <c r="B56" s="25" t="s">
        <v>35</v>
      </c>
      <c r="C56" s="25"/>
      <c r="D56" s="49"/>
      <c r="E56" s="21"/>
      <c r="F56" s="21"/>
      <c r="G56" s="25"/>
      <c r="H56" s="24"/>
      <c r="I56" s="21">
        <v>1073224.872</v>
      </c>
      <c r="J56" s="26"/>
      <c r="K56" s="25"/>
      <c r="L56" s="25"/>
      <c r="M56" s="25"/>
      <c r="N56" s="25"/>
      <c r="O56" s="25"/>
      <c r="P56" s="24"/>
      <c r="Q56" s="21">
        <v>1001979.952</v>
      </c>
      <c r="R56" s="26"/>
      <c r="S56" s="25"/>
      <c r="T56" s="27"/>
      <c r="U56" s="28" t="s">
        <v>78</v>
      </c>
      <c r="V56" s="5"/>
      <c r="W56"/>
      <c r="X56"/>
    </row>
    <row r="57" spans="2:24" ht="12.75">
      <c r="B57" s="1"/>
      <c r="C57" s="1"/>
      <c r="D57" s="1"/>
      <c r="E57" s="2"/>
      <c r="F57" s="2"/>
      <c r="G57" s="1"/>
      <c r="H57" s="1"/>
      <c r="I57" s="2"/>
      <c r="J57" s="4"/>
      <c r="K57" s="1"/>
      <c r="L57" s="1"/>
      <c r="M57" s="1"/>
      <c r="N57" s="1"/>
      <c r="O57" s="1"/>
      <c r="P57" s="1"/>
      <c r="Q57" s="2"/>
      <c r="R57" s="26"/>
      <c r="S57" s="1"/>
      <c r="T57" s="5"/>
      <c r="U57" s="5"/>
      <c r="V57" s="5"/>
      <c r="W57"/>
      <c r="X57"/>
    </row>
    <row r="58" spans="2:24" ht="15.75">
      <c r="B58" s="8"/>
      <c r="U58" s="5"/>
      <c r="V58" s="5"/>
      <c r="W58"/>
      <c r="X58"/>
    </row>
    <row r="59" spans="2:22" ht="12.75">
      <c r="B59" s="1"/>
      <c r="C59" s="1"/>
      <c r="D59" s="1"/>
      <c r="E59" s="2"/>
      <c r="F59" s="2"/>
      <c r="G59" s="1"/>
      <c r="H59" s="1"/>
      <c r="I59" s="2"/>
      <c r="J59" s="4"/>
      <c r="K59" s="1"/>
      <c r="L59" s="1"/>
      <c r="M59" s="1"/>
      <c r="N59" s="1"/>
      <c r="O59" s="1"/>
      <c r="P59" s="1"/>
      <c r="Q59" s="2"/>
      <c r="R59" s="26"/>
      <c r="S59" s="1"/>
      <c r="T59" s="5"/>
      <c r="U59" s="5"/>
      <c r="V59" s="5"/>
    </row>
    <row r="60" ht="12.75">
      <c r="R60" s="24"/>
    </row>
    <row r="69" spans="23:24" ht="12.75">
      <c r="W69"/>
      <c r="X69"/>
    </row>
    <row r="70" ht="12.75">
      <c r="X70" s="50" t="e">
        <f>SUM(X11:X27)-#REF!</f>
        <v>#REF!</v>
      </c>
    </row>
  </sheetData>
  <sheetProtection/>
  <mergeCells count="5">
    <mergeCell ref="A1:U1"/>
    <mergeCell ref="A2:U2"/>
    <mergeCell ref="C4:I4"/>
    <mergeCell ref="K4:Q4"/>
    <mergeCell ref="A3:U3"/>
  </mergeCells>
  <printOptions horizontalCentered="1"/>
  <pageMargins left="0" right="0" top="0.5" bottom="0.5" header="0" footer="0"/>
  <pageSetup fitToHeight="1" fitToWidth="1" horizontalDpi="600" verticalDpi="600" orientation="landscape" scale="75" r:id="rId1"/>
  <headerFooter alignWithMargins="0">
    <oddFooter>&amp;L&amp;"Verdana,Regular"California Department of Insurance&amp;C&amp;"Verdana,Regular"August 25, 2023&amp;R&amp;"Verdana,Regular"Rate Specialist Bureau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2.7109375" style="0" customWidth="1"/>
    <col min="3" max="3" width="9.28125" style="0" customWidth="1"/>
    <col min="4" max="4" width="2.7109375" style="0" customWidth="1"/>
    <col min="5" max="5" width="12.7109375" style="0" customWidth="1"/>
    <col min="6" max="6" width="9.28125" style="0" customWidth="1"/>
    <col min="7" max="7" width="2.7109375" style="0" customWidth="1"/>
    <col min="8" max="8" width="11.57421875" style="0" bestFit="1" customWidth="1"/>
    <col min="9" max="9" width="9.28125" style="0" customWidth="1"/>
    <col min="10" max="10" width="2.7109375" style="0" customWidth="1"/>
    <col min="11" max="11" width="11.57421875" style="0" bestFit="1" customWidth="1"/>
    <col min="12" max="12" width="9.28125" style="0" customWidth="1"/>
    <col min="13" max="13" width="2.7109375" style="0" customWidth="1"/>
    <col min="14" max="14" width="11.57421875" style="0" bestFit="1" customWidth="1"/>
    <col min="15" max="15" width="9.28125" style="0" customWidth="1"/>
    <col min="16" max="16" width="2.7109375" style="0" customWidth="1"/>
    <col min="19" max="19" width="2.7109375" style="0" customWidth="1"/>
  </cols>
  <sheetData>
    <row r="1" spans="1:18" ht="12.75">
      <c r="A1" s="36" t="s">
        <v>79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4"/>
      <c r="Q1" s="24"/>
      <c r="R1" s="24"/>
    </row>
    <row r="2" spans="1:18" ht="12.75">
      <c r="A2" s="36" t="s">
        <v>80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24"/>
      <c r="Q2" s="24"/>
      <c r="R2" s="24"/>
    </row>
    <row r="3" spans="1:18" ht="12.75">
      <c r="A3" s="36" t="s">
        <v>81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24"/>
      <c r="Q3" s="24"/>
      <c r="R3" s="24"/>
    </row>
    <row r="4" spans="6:18" ht="12.75">
      <c r="F4" s="36"/>
      <c r="G4" s="36"/>
      <c r="H4" s="36"/>
      <c r="I4" s="36"/>
      <c r="J4" s="36"/>
      <c r="K4" s="36"/>
      <c r="L4" s="36"/>
      <c r="M4" s="36"/>
      <c r="N4" s="36"/>
      <c r="O4" s="36"/>
      <c r="P4" s="24"/>
      <c r="Q4" s="24"/>
      <c r="R4" s="24"/>
    </row>
    <row r="5" spans="1:18" ht="12.75">
      <c r="A5" s="36"/>
      <c r="B5" s="36">
        <v>2021</v>
      </c>
      <c r="C5" s="36"/>
      <c r="D5" s="36"/>
      <c r="E5" s="36">
        <f>B5</f>
        <v>2021</v>
      </c>
      <c r="F5" s="36"/>
      <c r="G5" s="36"/>
      <c r="H5" s="36">
        <f>B5</f>
        <v>2021</v>
      </c>
      <c r="I5" s="36"/>
      <c r="J5" s="36"/>
      <c r="K5" s="36">
        <f>B5</f>
        <v>2021</v>
      </c>
      <c r="L5" s="36"/>
      <c r="M5" s="36"/>
      <c r="N5" s="36">
        <f>B5</f>
        <v>2021</v>
      </c>
      <c r="O5" s="36"/>
      <c r="P5" s="24"/>
      <c r="Q5" s="24"/>
      <c r="R5" s="24"/>
    </row>
    <row r="6" spans="1:18" ht="12.75">
      <c r="A6" s="36"/>
      <c r="B6" s="37" t="s">
        <v>82</v>
      </c>
      <c r="C6" s="37"/>
      <c r="D6" s="36"/>
      <c r="E6" s="37" t="s">
        <v>82</v>
      </c>
      <c r="F6" s="36"/>
      <c r="G6" s="36"/>
      <c r="H6" s="37" t="s">
        <v>82</v>
      </c>
      <c r="I6" s="36"/>
      <c r="J6" s="36"/>
      <c r="K6" s="37" t="s">
        <v>82</v>
      </c>
      <c r="L6" s="36"/>
      <c r="M6" s="36"/>
      <c r="N6" s="37" t="s">
        <v>82</v>
      </c>
      <c r="O6" s="36"/>
      <c r="P6" s="24"/>
      <c r="Q6" s="24"/>
      <c r="R6" s="24"/>
    </row>
    <row r="7" spans="1:18" ht="12.75">
      <c r="A7" s="36"/>
      <c r="B7" s="37" t="s">
        <v>83</v>
      </c>
      <c r="C7" s="37"/>
      <c r="D7" s="36"/>
      <c r="E7" s="37" t="s">
        <v>74</v>
      </c>
      <c r="F7" s="36"/>
      <c r="G7" s="36"/>
      <c r="H7" s="37" t="s">
        <v>84</v>
      </c>
      <c r="I7" s="36"/>
      <c r="J7" s="36"/>
      <c r="K7" s="37" t="s">
        <v>30</v>
      </c>
      <c r="L7" s="36"/>
      <c r="M7" s="36"/>
      <c r="N7" s="37" t="s">
        <v>85</v>
      </c>
      <c r="O7" s="36"/>
      <c r="P7" s="24"/>
      <c r="Q7" s="24"/>
      <c r="R7" s="24"/>
    </row>
    <row r="8" spans="1:18" ht="13.5" thickBot="1">
      <c r="A8" s="45" t="s">
        <v>86</v>
      </c>
      <c r="B8" s="46" t="s">
        <v>87</v>
      </c>
      <c r="C8" s="46" t="s">
        <v>88</v>
      </c>
      <c r="D8" s="45"/>
      <c r="E8" s="46" t="s">
        <v>87</v>
      </c>
      <c r="F8" s="46" t="s">
        <v>88</v>
      </c>
      <c r="G8" s="45"/>
      <c r="H8" s="46" t="s">
        <v>87</v>
      </c>
      <c r="I8" s="46" t="s">
        <v>88</v>
      </c>
      <c r="J8" s="45"/>
      <c r="K8" s="46" t="s">
        <v>23</v>
      </c>
      <c r="L8" s="46" t="s">
        <v>88</v>
      </c>
      <c r="M8" s="45"/>
      <c r="N8" s="46" t="s">
        <v>23</v>
      </c>
      <c r="O8" s="46" t="s">
        <v>88</v>
      </c>
      <c r="P8" s="24"/>
      <c r="Q8" s="24"/>
      <c r="R8" s="24"/>
    </row>
    <row r="9" spans="1:18" ht="12.75">
      <c r="A9" s="36" t="s">
        <v>89</v>
      </c>
      <c r="B9" s="38">
        <v>32640691</v>
      </c>
      <c r="C9" s="39">
        <f>B9/B11</f>
        <v>0.65321732540625</v>
      </c>
      <c r="D9" s="36"/>
      <c r="E9" s="38">
        <v>31422077</v>
      </c>
      <c r="F9" s="39">
        <f>E9/E11</f>
        <v>0.6514084563979278</v>
      </c>
      <c r="G9" s="36"/>
      <c r="H9" s="38">
        <v>15782454</v>
      </c>
      <c r="I9" s="39">
        <f>H9/H11</f>
        <v>0.6593096697459885</v>
      </c>
      <c r="J9" s="36"/>
      <c r="K9" s="38">
        <v>16448468</v>
      </c>
      <c r="L9" s="39">
        <f>K9/K11</f>
        <v>0.36029731217704114</v>
      </c>
      <c r="M9" s="36"/>
      <c r="N9" s="38">
        <v>1183197</v>
      </c>
      <c r="O9" s="39">
        <f>N9/N11</f>
        <v>0.10881237138735021</v>
      </c>
      <c r="P9" s="24"/>
      <c r="Q9" s="24"/>
      <c r="R9" s="24"/>
    </row>
    <row r="10" spans="1:18" ht="12.75">
      <c r="A10" s="36" t="s">
        <v>90</v>
      </c>
      <c r="B10" s="38">
        <v>17328423</v>
      </c>
      <c r="C10" s="39">
        <f>B10/B11</f>
        <v>0.34678267459375006</v>
      </c>
      <c r="D10" s="36"/>
      <c r="E10" s="38">
        <v>16815057</v>
      </c>
      <c r="F10" s="39">
        <f>E10/E11</f>
        <v>0.34859154360207223</v>
      </c>
      <c r="G10" s="36"/>
      <c r="H10" s="38">
        <v>8155393</v>
      </c>
      <c r="I10" s="39">
        <f>H10/H11</f>
        <v>0.3406903302540116</v>
      </c>
      <c r="J10" s="36"/>
      <c r="K10" s="38">
        <v>29204018</v>
      </c>
      <c r="L10" s="39">
        <f>K10/K11</f>
        <v>0.6397026878229589</v>
      </c>
      <c r="M10" s="36"/>
      <c r="N10" s="38">
        <v>9690539</v>
      </c>
      <c r="O10" s="39">
        <f>N10/N11</f>
        <v>0.8911876286126498</v>
      </c>
      <c r="P10" s="24"/>
      <c r="Q10" s="24"/>
      <c r="R10" s="24"/>
    </row>
    <row r="11" spans="1:18" ht="12.75">
      <c r="A11" s="36" t="s">
        <v>91</v>
      </c>
      <c r="B11" s="38">
        <f>B9+B10</f>
        <v>49969114</v>
      </c>
      <c r="C11" s="39">
        <f>C9+C10</f>
        <v>1</v>
      </c>
      <c r="D11" s="36"/>
      <c r="E11" s="38">
        <f>E9+E10</f>
        <v>48237134</v>
      </c>
      <c r="F11" s="39">
        <f>F9+F10</f>
        <v>1</v>
      </c>
      <c r="G11" s="36"/>
      <c r="H11" s="38">
        <f>H9+H10</f>
        <v>23937847</v>
      </c>
      <c r="I11" s="39">
        <f>I9+I10</f>
        <v>1</v>
      </c>
      <c r="J11" s="36"/>
      <c r="K11" s="38">
        <f>K9+K10</f>
        <v>45652486</v>
      </c>
      <c r="L11" s="39">
        <f>L9+L10</f>
        <v>1</v>
      </c>
      <c r="M11" s="36"/>
      <c r="N11" s="38">
        <f>N9+N10</f>
        <v>10873736</v>
      </c>
      <c r="O11" s="39">
        <f>O9+O10</f>
        <v>1</v>
      </c>
      <c r="P11" s="24"/>
      <c r="Q11" s="24"/>
      <c r="R11" s="24"/>
    </row>
    <row r="12" spans="1:18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2.75">
      <c r="A13" s="36" t="s">
        <v>93</v>
      </c>
      <c r="B13" s="38">
        <v>108690758</v>
      </c>
      <c r="C13" s="39">
        <f>B13/B15</f>
        <v>0.8975813699445542</v>
      </c>
      <c r="D13" s="36"/>
      <c r="E13" s="38">
        <v>106681167</v>
      </c>
      <c r="F13" s="39">
        <f>E13/E15</f>
        <v>0.9008013954264108</v>
      </c>
      <c r="G13" s="36"/>
      <c r="H13" s="38">
        <v>34757269</v>
      </c>
      <c r="I13" s="39">
        <f>H13/H15</f>
        <v>0.8649708074300758</v>
      </c>
      <c r="J13" s="36"/>
      <c r="K13" s="38">
        <v>7036431</v>
      </c>
      <c r="L13" s="39">
        <f>K13/K15</f>
        <v>0.8001412556262882</v>
      </c>
      <c r="M13" s="36"/>
      <c r="N13" s="38">
        <v>344109</v>
      </c>
      <c r="O13" s="39">
        <f>N13/N15</f>
        <v>0.6492696143729929</v>
      </c>
      <c r="P13" s="24"/>
      <c r="Q13" s="24"/>
      <c r="R13" s="24"/>
    </row>
    <row r="14" spans="1:18" ht="12.75">
      <c r="A14" s="36" t="s">
        <v>94</v>
      </c>
      <c r="B14" s="38">
        <v>12402172</v>
      </c>
      <c r="C14" s="39">
        <f>B14/B15</f>
        <v>0.10241863005544585</v>
      </c>
      <c r="D14" s="36"/>
      <c r="E14" s="38">
        <v>11748009</v>
      </c>
      <c r="F14" s="39">
        <f>E14/E15</f>
        <v>0.0991986045735892</v>
      </c>
      <c r="G14" s="36"/>
      <c r="H14" s="38">
        <v>5425901</v>
      </c>
      <c r="I14" s="39">
        <f>H14/H15</f>
        <v>0.13502919256992418</v>
      </c>
      <c r="J14" s="36"/>
      <c r="K14" s="38">
        <v>1757555</v>
      </c>
      <c r="L14" s="39">
        <f>K14/K15</f>
        <v>0.19985874437371176</v>
      </c>
      <c r="M14" s="36"/>
      <c r="N14" s="38">
        <v>185885</v>
      </c>
      <c r="O14" s="39">
        <f>N14/N15</f>
        <v>0.3507303856270071</v>
      </c>
      <c r="P14" s="24"/>
      <c r="Q14" s="24"/>
      <c r="R14" s="24"/>
    </row>
    <row r="15" spans="1:18" ht="12.75">
      <c r="A15" s="36" t="s">
        <v>92</v>
      </c>
      <c r="B15" s="38">
        <f>B13+B14</f>
        <v>121092930</v>
      </c>
      <c r="C15" s="39">
        <f>C13+C14</f>
        <v>1</v>
      </c>
      <c r="D15" s="36"/>
      <c r="E15" s="38">
        <f>E13+E14</f>
        <v>118429176</v>
      </c>
      <c r="F15" s="39">
        <f>F13+F14</f>
        <v>1</v>
      </c>
      <c r="G15" s="36"/>
      <c r="H15" s="38">
        <f>H13+H14</f>
        <v>40183170</v>
      </c>
      <c r="I15" s="39">
        <f>I13+I14</f>
        <v>1</v>
      </c>
      <c r="J15" s="36"/>
      <c r="K15" s="38">
        <f>K13+K14</f>
        <v>8793986</v>
      </c>
      <c r="L15" s="39">
        <f>L13+L14</f>
        <v>1</v>
      </c>
      <c r="M15" s="36"/>
      <c r="N15" s="38">
        <f>N13+N14</f>
        <v>529994</v>
      </c>
      <c r="O15" s="39">
        <f>O13+O14</f>
        <v>1</v>
      </c>
      <c r="P15" s="24"/>
      <c r="Q15" s="24"/>
      <c r="R15" s="24"/>
    </row>
    <row r="16" spans="1:18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4"/>
      <c r="Q16" s="24"/>
      <c r="R16" s="24"/>
    </row>
    <row r="17" spans="1:18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4"/>
      <c r="Q17" s="24"/>
      <c r="R17" s="24"/>
    </row>
    <row r="18" spans="1:18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4"/>
      <c r="Q18" s="24"/>
      <c r="R18" s="24"/>
    </row>
    <row r="19" spans="1:18" ht="12.75">
      <c r="A19" s="36" t="s">
        <v>79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4"/>
      <c r="Q19" s="24"/>
      <c r="R19" s="24"/>
    </row>
    <row r="20" spans="1:18" ht="12.75">
      <c r="A20" s="36" t="s">
        <v>80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4"/>
      <c r="Q20" s="24"/>
      <c r="R20" s="24"/>
    </row>
    <row r="21" spans="1:18" ht="12.75">
      <c r="A21" s="36" t="s">
        <v>81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4"/>
      <c r="Q21" s="24"/>
      <c r="R21" s="24"/>
    </row>
    <row r="22" spans="1:18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4"/>
      <c r="Q22" s="24"/>
      <c r="R22" s="24"/>
    </row>
    <row r="23" spans="2:18" ht="12.75">
      <c r="B23" s="36">
        <f>B5+1</f>
        <v>2022</v>
      </c>
      <c r="C23" s="36"/>
      <c r="D23" s="36"/>
      <c r="E23" s="36">
        <f>B23</f>
        <v>2022</v>
      </c>
      <c r="F23" s="36"/>
      <c r="G23" s="36"/>
      <c r="H23" s="36">
        <f>B23</f>
        <v>2022</v>
      </c>
      <c r="I23" s="36"/>
      <c r="J23" s="36"/>
      <c r="K23" s="36">
        <f>B23</f>
        <v>2022</v>
      </c>
      <c r="L23" s="36"/>
      <c r="M23" s="36"/>
      <c r="N23" s="36">
        <f>B23</f>
        <v>2022</v>
      </c>
      <c r="O23" s="36"/>
      <c r="P23" s="24"/>
      <c r="Q23" s="24"/>
      <c r="R23" s="24"/>
    </row>
    <row r="24" spans="1:18" ht="12.75">
      <c r="A24" s="36"/>
      <c r="B24" s="37" t="s">
        <v>82</v>
      </c>
      <c r="C24" s="37"/>
      <c r="D24" s="36"/>
      <c r="E24" s="37" t="s">
        <v>82</v>
      </c>
      <c r="F24" s="36"/>
      <c r="G24" s="36"/>
      <c r="H24" s="37" t="s">
        <v>82</v>
      </c>
      <c r="I24" s="36"/>
      <c r="J24" s="36"/>
      <c r="K24" s="37" t="s">
        <v>82</v>
      </c>
      <c r="L24" s="36"/>
      <c r="M24" s="36"/>
      <c r="N24" s="37" t="s">
        <v>82</v>
      </c>
      <c r="O24" s="36"/>
      <c r="P24" s="24"/>
      <c r="Q24" s="24"/>
      <c r="R24" s="24"/>
    </row>
    <row r="25" spans="1:18" ht="12.75">
      <c r="A25" s="36"/>
      <c r="B25" s="37" t="s">
        <v>83</v>
      </c>
      <c r="C25" s="37"/>
      <c r="D25" s="36"/>
      <c r="E25" s="37" t="s">
        <v>74</v>
      </c>
      <c r="F25" s="36"/>
      <c r="G25" s="36"/>
      <c r="H25" s="37" t="s">
        <v>84</v>
      </c>
      <c r="I25" s="36"/>
      <c r="J25" s="36"/>
      <c r="K25" s="37" t="s">
        <v>30</v>
      </c>
      <c r="L25" s="36"/>
      <c r="M25" s="36"/>
      <c r="N25" s="37" t="s">
        <v>85</v>
      </c>
      <c r="O25" s="36"/>
      <c r="P25" s="24"/>
      <c r="Q25" s="24"/>
      <c r="R25" s="24"/>
    </row>
    <row r="26" spans="1:18" ht="13.5" thickBot="1">
      <c r="A26" s="45" t="s">
        <v>86</v>
      </c>
      <c r="B26" s="46" t="s">
        <v>87</v>
      </c>
      <c r="C26" s="46" t="s">
        <v>88</v>
      </c>
      <c r="D26" s="45"/>
      <c r="E26" s="46" t="s">
        <v>87</v>
      </c>
      <c r="F26" s="46" t="s">
        <v>88</v>
      </c>
      <c r="G26" s="45"/>
      <c r="H26" s="46" t="s">
        <v>87</v>
      </c>
      <c r="I26" s="46" t="s">
        <v>88</v>
      </c>
      <c r="J26" s="45"/>
      <c r="K26" s="46" t="s">
        <v>23</v>
      </c>
      <c r="L26" s="46" t="s">
        <v>88</v>
      </c>
      <c r="M26" s="45"/>
      <c r="N26" s="46" t="s">
        <v>23</v>
      </c>
      <c r="O26" s="46" t="s">
        <v>88</v>
      </c>
      <c r="P26" s="24"/>
      <c r="Q26" s="24"/>
      <c r="R26" s="24"/>
    </row>
    <row r="27" spans="1:18" ht="12.75">
      <c r="A27" s="36" t="s">
        <v>89</v>
      </c>
      <c r="B27" s="38">
        <v>36160206</v>
      </c>
      <c r="C27" s="39">
        <f>B27/B29</f>
        <v>0.6530100930116923</v>
      </c>
      <c r="D27" s="36"/>
      <c r="E27" s="38">
        <v>34412150</v>
      </c>
      <c r="F27" s="39">
        <f>E27/E29</f>
        <v>0.6494109403073509</v>
      </c>
      <c r="G27" s="36"/>
      <c r="H27" s="38">
        <v>17519689</v>
      </c>
      <c r="I27" s="39">
        <f>H27/H29</f>
        <v>0.6663696983539578</v>
      </c>
      <c r="J27" s="36"/>
      <c r="K27" s="38">
        <v>18426559</v>
      </c>
      <c r="L27" s="39">
        <f>K27/K29</f>
        <v>0.3718475319616021</v>
      </c>
      <c r="M27" s="36"/>
      <c r="N27" s="38">
        <v>1233820</v>
      </c>
      <c r="O27" s="39">
        <f>N27/N29</f>
        <v>0.11272162303350185</v>
      </c>
      <c r="P27" s="24"/>
      <c r="Q27" s="24"/>
      <c r="R27" s="24"/>
    </row>
    <row r="28" spans="1:18" ht="12.75">
      <c r="A28" s="36" t="s">
        <v>90</v>
      </c>
      <c r="B28" s="38">
        <v>19214445</v>
      </c>
      <c r="C28" s="39">
        <f>B28/B29</f>
        <v>0.34698990698830773</v>
      </c>
      <c r="D28" s="36"/>
      <c r="E28" s="38">
        <v>18577641</v>
      </c>
      <c r="F28" s="39">
        <f>E28/E29</f>
        <v>0.3505890596926491</v>
      </c>
      <c r="G28" s="36"/>
      <c r="H28" s="38">
        <v>8771556</v>
      </c>
      <c r="I28" s="39">
        <f>H28/H29</f>
        <v>0.33363030164604224</v>
      </c>
      <c r="J28" s="36"/>
      <c r="K28" s="38">
        <v>31127512</v>
      </c>
      <c r="L28" s="39">
        <f>K28/K29</f>
        <v>0.6281524680383979</v>
      </c>
      <c r="M28" s="36"/>
      <c r="N28" s="38">
        <v>9711906</v>
      </c>
      <c r="O28" s="39">
        <f>N28/N29</f>
        <v>0.8872783769664981</v>
      </c>
      <c r="P28" s="24"/>
      <c r="Q28" s="24"/>
      <c r="R28" s="24"/>
    </row>
    <row r="29" spans="1:18" ht="12.75">
      <c r="A29" s="36" t="s">
        <v>91</v>
      </c>
      <c r="B29" s="38">
        <f>B27+B28</f>
        <v>55374651</v>
      </c>
      <c r="C29" s="39">
        <f>C27+C28</f>
        <v>1</v>
      </c>
      <c r="D29" s="36"/>
      <c r="E29" s="38">
        <f>E27+E28</f>
        <v>52989791</v>
      </c>
      <c r="F29" s="39">
        <f>F27+F28</f>
        <v>1</v>
      </c>
      <c r="G29" s="36"/>
      <c r="H29" s="38">
        <f>H27+H28</f>
        <v>26291245</v>
      </c>
      <c r="I29" s="39">
        <f>I27+I28</f>
        <v>1</v>
      </c>
      <c r="J29" s="36"/>
      <c r="K29" s="38">
        <f>K27+K28</f>
        <v>49554071</v>
      </c>
      <c r="L29" s="39">
        <f>L27+L28</f>
        <v>1</v>
      </c>
      <c r="M29" s="36"/>
      <c r="N29" s="38">
        <f>N27+N28</f>
        <v>10945726</v>
      </c>
      <c r="O29" s="39">
        <f>O27+O28</f>
        <v>1</v>
      </c>
      <c r="P29" s="24"/>
      <c r="Q29" s="24"/>
      <c r="R29" s="24"/>
    </row>
    <row r="30" spans="1:18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2.75">
      <c r="A31" s="36" t="s">
        <v>93</v>
      </c>
      <c r="B31" s="38">
        <v>117735488</v>
      </c>
      <c r="C31" s="39">
        <f>B31/B33</f>
        <v>0.8953017956424157</v>
      </c>
      <c r="D31" s="36"/>
      <c r="E31" s="38">
        <v>114096614</v>
      </c>
      <c r="F31" s="39">
        <f>E31/E33</f>
        <v>0.8960815789234353</v>
      </c>
      <c r="G31" s="36"/>
      <c r="H31" s="38">
        <v>38443860</v>
      </c>
      <c r="I31" s="39">
        <f>H31/H33</f>
        <v>0.8654579057562345</v>
      </c>
      <c r="J31" s="36"/>
      <c r="K31" s="38">
        <v>10117115</v>
      </c>
      <c r="L31" s="39">
        <f>K31/K33</f>
        <v>0.8275009371339545</v>
      </c>
      <c r="M31" s="36"/>
      <c r="N31" s="38">
        <v>392843</v>
      </c>
      <c r="O31" s="39">
        <f>N31/N33</f>
        <v>0.6711501927124621</v>
      </c>
      <c r="P31" s="24"/>
      <c r="Q31" s="24"/>
      <c r="R31" s="24"/>
    </row>
    <row r="32" spans="1:18" ht="12.75">
      <c r="A32" s="36" t="s">
        <v>94</v>
      </c>
      <c r="B32" s="38">
        <v>13768200</v>
      </c>
      <c r="C32" s="39">
        <f>B32/B33</f>
        <v>0.10469820435758426</v>
      </c>
      <c r="D32" s="36"/>
      <c r="E32" s="38">
        <v>13231764</v>
      </c>
      <c r="F32" s="39">
        <f>E32/E33</f>
        <v>0.10391842107656472</v>
      </c>
      <c r="G32" s="36"/>
      <c r="H32" s="38">
        <v>5976394</v>
      </c>
      <c r="I32" s="39">
        <f>H32/H33</f>
        <v>0.13454209424376548</v>
      </c>
      <c r="J32" s="36"/>
      <c r="K32" s="38">
        <v>2108992</v>
      </c>
      <c r="L32" s="39">
        <f>K32/K33</f>
        <v>0.17249906286604558</v>
      </c>
      <c r="M32" s="36"/>
      <c r="N32" s="38">
        <v>192485</v>
      </c>
      <c r="O32" s="39">
        <f>N32/N33</f>
        <v>0.32884980728753793</v>
      </c>
      <c r="P32" s="24"/>
      <c r="Q32" s="24"/>
      <c r="R32" s="24"/>
    </row>
    <row r="33" spans="1:18" ht="12.75">
      <c r="A33" s="36" t="s">
        <v>92</v>
      </c>
      <c r="B33" s="38">
        <f>B31+B32</f>
        <v>131503688</v>
      </c>
      <c r="C33" s="39">
        <f>C31+C32</f>
        <v>1</v>
      </c>
      <c r="D33" s="36"/>
      <c r="E33" s="38">
        <f>E31+E32</f>
        <v>127328378</v>
      </c>
      <c r="F33" s="39">
        <f>F31+F32</f>
        <v>1</v>
      </c>
      <c r="G33" s="36"/>
      <c r="H33" s="38">
        <f>H31+H32</f>
        <v>44420254</v>
      </c>
      <c r="I33" s="39">
        <f>I31+I32</f>
        <v>1</v>
      </c>
      <c r="J33" s="36"/>
      <c r="K33" s="38">
        <f>K31+K32</f>
        <v>12226107</v>
      </c>
      <c r="L33" s="39">
        <f>L31+L32</f>
        <v>1</v>
      </c>
      <c r="M33" s="36"/>
      <c r="N33" s="38">
        <f>N31+N32</f>
        <v>585328</v>
      </c>
      <c r="O33" s="39">
        <f>O31+O32</f>
        <v>1</v>
      </c>
      <c r="P33" s="24"/>
      <c r="Q33" s="24"/>
      <c r="R33" s="24"/>
    </row>
    <row r="34" spans="1:18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12.75">
      <c r="A35" s="24"/>
      <c r="O35" s="24"/>
      <c r="P35" s="24"/>
      <c r="Q35" s="24"/>
      <c r="R35" s="24"/>
    </row>
    <row r="36" spans="1:18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ht="12.75">
      <c r="B38" s="51"/>
    </row>
  </sheetData>
  <sheetProtection/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Footer>&amp;L&amp;"Verdana,Regular"California Department of Insurance&amp;C&amp;"Verdana,Regular"August 25, 2023&amp;R&amp;"Verdana,Regular"Rate Specialist Bureau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.7109375" style="0" customWidth="1"/>
    <col min="3" max="3" width="20.7109375" style="0" customWidth="1"/>
    <col min="4" max="4" width="4.7109375" style="0" customWidth="1"/>
    <col min="5" max="5" width="13.7109375" style="0" customWidth="1"/>
    <col min="6" max="6" width="4.7109375" style="0" customWidth="1"/>
    <col min="7" max="7" width="13.7109375" style="0" customWidth="1"/>
    <col min="8" max="8" width="4.7109375" style="0" customWidth="1"/>
    <col min="9" max="9" width="12.7109375" style="0" customWidth="1"/>
    <col min="11" max="13" width="0" style="0" hidden="1" customWidth="1"/>
  </cols>
  <sheetData>
    <row r="1" spans="1:9" ht="23.25">
      <c r="A1" s="60" t="s">
        <v>108</v>
      </c>
      <c r="B1" s="60"/>
      <c r="C1" s="60"/>
      <c r="D1" s="60"/>
      <c r="E1" s="60"/>
      <c r="F1" s="60"/>
      <c r="G1" s="60"/>
      <c r="H1" s="60"/>
      <c r="I1" s="60"/>
    </row>
    <row r="2" spans="1:9" ht="18">
      <c r="A2" s="61" t="s">
        <v>131</v>
      </c>
      <c r="B2" s="61"/>
      <c r="C2" s="61"/>
      <c r="D2" s="61"/>
      <c r="E2" s="61"/>
      <c r="F2" s="61"/>
      <c r="G2" s="61"/>
      <c r="H2" s="61"/>
      <c r="I2" s="61"/>
    </row>
    <row r="4" spans="1:13" ht="12.75">
      <c r="A4" s="13" t="s">
        <v>114</v>
      </c>
      <c r="C4" s="13" t="s">
        <v>115</v>
      </c>
      <c r="D4" s="12"/>
      <c r="E4" s="37" t="s">
        <v>102</v>
      </c>
      <c r="F4" s="37"/>
      <c r="G4" s="37" t="s">
        <v>103</v>
      </c>
      <c r="H4" s="37"/>
      <c r="I4" s="37" t="s">
        <v>104</v>
      </c>
      <c r="J4" s="24"/>
      <c r="K4" s="52" t="s">
        <v>127</v>
      </c>
      <c r="L4" s="24"/>
      <c r="M4" s="24"/>
    </row>
    <row r="5" spans="1:9" ht="12.75">
      <c r="A5" s="13"/>
      <c r="C5" s="13"/>
      <c r="D5" s="12"/>
      <c r="E5" s="11" t="s">
        <v>99</v>
      </c>
      <c r="F5" s="11"/>
      <c r="G5" s="11" t="s">
        <v>99</v>
      </c>
      <c r="H5" s="11"/>
      <c r="I5" s="11"/>
    </row>
    <row r="6" spans="1:9" ht="12.75">
      <c r="A6" s="13"/>
      <c r="C6" s="13" t="s">
        <v>86</v>
      </c>
      <c r="D6" s="12"/>
      <c r="E6" s="11" t="s">
        <v>100</v>
      </c>
      <c r="F6" s="11"/>
      <c r="G6" s="11" t="s">
        <v>100</v>
      </c>
      <c r="H6" s="11"/>
      <c r="I6" s="11"/>
    </row>
    <row r="7" spans="1:12" ht="12.75">
      <c r="A7" s="13" t="s">
        <v>86</v>
      </c>
      <c r="C7" s="13" t="s">
        <v>106</v>
      </c>
      <c r="D7" s="12"/>
      <c r="E7" s="11" t="s">
        <v>109</v>
      </c>
      <c r="F7" s="11"/>
      <c r="G7" s="11" t="s">
        <v>109</v>
      </c>
      <c r="H7" s="11"/>
      <c r="I7" s="11" t="s">
        <v>101</v>
      </c>
      <c r="L7" s="47" t="s">
        <v>129</v>
      </c>
    </row>
    <row r="8" spans="1:12" ht="12.75">
      <c r="A8" s="14" t="s">
        <v>112</v>
      </c>
      <c r="C8" s="14" t="s">
        <v>107</v>
      </c>
      <c r="D8" s="12"/>
      <c r="E8" s="19">
        <v>2022</v>
      </c>
      <c r="F8" s="11"/>
      <c r="G8" s="19">
        <v>2021</v>
      </c>
      <c r="H8" s="11"/>
      <c r="I8" s="15" t="s">
        <v>105</v>
      </c>
      <c r="L8" s="47" t="s">
        <v>130</v>
      </c>
    </row>
    <row r="9" spans="1:12" ht="12.75">
      <c r="A9" s="13">
        <v>1</v>
      </c>
      <c r="C9" s="13" t="s">
        <v>42</v>
      </c>
      <c r="D9" s="12"/>
      <c r="E9" s="16">
        <f>'Leverage Factors'!U11</f>
        <v>0.7975187427710965</v>
      </c>
      <c r="F9" s="16"/>
      <c r="G9" s="16">
        <v>0.8123564405880735</v>
      </c>
      <c r="H9" s="16"/>
      <c r="I9" s="16">
        <f>E9-G9</f>
        <v>-0.01483769781697708</v>
      </c>
      <c r="L9" s="48">
        <f>E9/G9-1</f>
        <v>-0.018265009145783218</v>
      </c>
    </row>
    <row r="10" spans="1:12" ht="12.75">
      <c r="A10" s="13">
        <v>2</v>
      </c>
      <c r="C10" s="13" t="s">
        <v>43</v>
      </c>
      <c r="D10" s="12"/>
      <c r="E10" s="16">
        <f>'Leverage Factors'!U12</f>
        <v>0.9758938020718536</v>
      </c>
      <c r="F10" s="16"/>
      <c r="G10" s="16">
        <v>0.9343515250493067</v>
      </c>
      <c r="H10" s="16"/>
      <c r="I10" s="16">
        <f aca="true" t="shared" si="0" ref="I10:I54">E10-G10</f>
        <v>0.04154227702254687</v>
      </c>
      <c r="L10" s="48">
        <f aca="true" t="shared" si="1" ref="L10:L54">E10/G10-1</f>
        <v>0.04446107905732233</v>
      </c>
    </row>
    <row r="11" spans="1:12" ht="12.75">
      <c r="A11" s="13">
        <v>3</v>
      </c>
      <c r="C11" s="13" t="s">
        <v>44</v>
      </c>
      <c r="D11" s="12"/>
      <c r="E11" s="16">
        <f>'Leverage Factors'!U13</f>
        <v>0.9925844270496013</v>
      </c>
      <c r="F11" s="16"/>
      <c r="G11" s="16">
        <v>1.0198850033807605</v>
      </c>
      <c r="H11" s="16"/>
      <c r="I11" s="16">
        <f t="shared" si="0"/>
        <v>-0.027300576331159232</v>
      </c>
      <c r="L11" s="48">
        <f t="shared" si="1"/>
        <v>-0.026768288817525576</v>
      </c>
    </row>
    <row r="12" spans="1:12" ht="12.75">
      <c r="A12" s="13">
        <v>4</v>
      </c>
      <c r="C12" s="13" t="s">
        <v>45</v>
      </c>
      <c r="D12" s="12"/>
      <c r="E12" s="16">
        <f>'Leverage Factors'!U14</f>
        <v>0.9479391595360069</v>
      </c>
      <c r="F12" s="16"/>
      <c r="G12" s="16">
        <v>0.9155216611872032</v>
      </c>
      <c r="H12" s="16"/>
      <c r="I12" s="16">
        <f t="shared" si="0"/>
        <v>0.0324174983488037</v>
      </c>
      <c r="L12" s="48">
        <f t="shared" si="1"/>
        <v>0.03540877264090758</v>
      </c>
    </row>
    <row r="13" spans="1:12" ht="12.75">
      <c r="A13" s="13">
        <v>5.1</v>
      </c>
      <c r="C13" s="13" t="s">
        <v>95</v>
      </c>
      <c r="D13" s="12"/>
      <c r="E13" s="16">
        <f>'Leverage Factors'!U15</f>
        <v>0.8746357070592288</v>
      </c>
      <c r="F13" s="16"/>
      <c r="G13" s="16">
        <v>0.8595957523985943</v>
      </c>
      <c r="H13" s="16"/>
      <c r="I13" s="16">
        <f t="shared" si="0"/>
        <v>0.015039954660634458</v>
      </c>
      <c r="L13" s="48">
        <f t="shared" si="1"/>
        <v>0.017496543716819524</v>
      </c>
    </row>
    <row r="14" spans="1:12" ht="12.75">
      <c r="A14" s="13">
        <v>5.2</v>
      </c>
      <c r="C14" s="13" t="s">
        <v>96</v>
      </c>
      <c r="D14" s="12"/>
      <c r="E14" s="16">
        <f>'Leverage Factors'!U16</f>
        <v>0.49253799803513404</v>
      </c>
      <c r="F14" s="16"/>
      <c r="G14" s="16">
        <v>0.44524500946674733</v>
      </c>
      <c r="H14" s="16"/>
      <c r="I14" s="16">
        <f t="shared" si="0"/>
        <v>0.04729298856838671</v>
      </c>
      <c r="L14" s="48">
        <f t="shared" si="1"/>
        <v>0.10621789702938544</v>
      </c>
    </row>
    <row r="15" spans="1:12" ht="12.75">
      <c r="A15" s="13">
        <v>5</v>
      </c>
      <c r="C15" s="13" t="s">
        <v>34</v>
      </c>
      <c r="D15" s="12"/>
      <c r="E15" s="16">
        <f>'Leverage Factors'!U17</f>
        <v>0.6762696493320374</v>
      </c>
      <c r="F15" s="16"/>
      <c r="G15" s="16">
        <v>0.6490435650814771</v>
      </c>
      <c r="H15" s="16"/>
      <c r="I15" s="16">
        <f t="shared" si="0"/>
        <v>0.02722608425056028</v>
      </c>
      <c r="L15" s="48">
        <f t="shared" si="1"/>
        <v>0.041948007368569185</v>
      </c>
    </row>
    <row r="16" spans="1:12" ht="12.75">
      <c r="A16" s="13">
        <v>6</v>
      </c>
      <c r="C16" s="13" t="s">
        <v>46</v>
      </c>
      <c r="D16" s="12"/>
      <c r="E16" s="16">
        <f>'Leverage Factors'!U18</f>
        <v>0.7721961262015441</v>
      </c>
      <c r="F16" s="16"/>
      <c r="G16" s="16">
        <v>0.7524069984476563</v>
      </c>
      <c r="H16" s="16"/>
      <c r="I16" s="16">
        <f t="shared" si="0"/>
        <v>0.019789127753887747</v>
      </c>
      <c r="L16" s="48">
        <f t="shared" si="1"/>
        <v>0.02630109474621589</v>
      </c>
    </row>
    <row r="17" spans="1:12" ht="12.75">
      <c r="A17" s="13">
        <v>8</v>
      </c>
      <c r="C17" s="13" t="s">
        <v>47</v>
      </c>
      <c r="D17" s="12"/>
      <c r="E17" s="16">
        <f>'Leverage Factors'!U19</f>
        <v>0.7603049089688543</v>
      </c>
      <c r="F17" s="16"/>
      <c r="G17" s="16">
        <v>0.7483844569858048</v>
      </c>
      <c r="H17" s="16"/>
      <c r="I17" s="16">
        <f t="shared" si="0"/>
        <v>0.011920451983049474</v>
      </c>
      <c r="L17" s="48">
        <f t="shared" si="1"/>
        <v>0.015928246333522633</v>
      </c>
    </row>
    <row r="18" spans="1:12" ht="12.75">
      <c r="A18" s="13">
        <v>9</v>
      </c>
      <c r="C18" s="13" t="s">
        <v>48</v>
      </c>
      <c r="D18" s="12"/>
      <c r="E18" s="16">
        <f>'Leverage Factors'!U20</f>
        <v>1.0958305099189025</v>
      </c>
      <c r="F18" s="16"/>
      <c r="G18" s="16">
        <v>0.999428369211938</v>
      </c>
      <c r="H18" s="16"/>
      <c r="I18" s="16">
        <f t="shared" si="0"/>
        <v>0.09640214070696451</v>
      </c>
      <c r="L18" s="48">
        <f t="shared" si="1"/>
        <v>0.09645727865717757</v>
      </c>
    </row>
    <row r="19" spans="1:12" ht="12.75">
      <c r="A19" s="13">
        <v>10</v>
      </c>
      <c r="C19" s="13" t="s">
        <v>49</v>
      </c>
      <c r="D19" s="12"/>
      <c r="E19" s="16">
        <f>'Leverage Factors'!U21</f>
        <v>0.15011551309318164</v>
      </c>
      <c r="F19" s="16"/>
      <c r="G19" s="16">
        <v>0.18124397524989627</v>
      </c>
      <c r="H19" s="16"/>
      <c r="I19" s="16">
        <f t="shared" si="0"/>
        <v>-0.031128462156714637</v>
      </c>
      <c r="L19" s="48">
        <f t="shared" si="1"/>
        <v>-0.17174894842046595</v>
      </c>
    </row>
    <row r="20" spans="1:12" ht="12.75">
      <c r="A20" s="13">
        <v>11.1</v>
      </c>
      <c r="C20" s="13" t="s">
        <v>50</v>
      </c>
      <c r="D20" s="12"/>
      <c r="E20" s="16">
        <f>'Leverage Factors'!U22</f>
        <v>0.29756882765248605</v>
      </c>
      <c r="F20" s="16"/>
      <c r="G20" s="16">
        <v>0.2789165752912712</v>
      </c>
      <c r="H20" s="16"/>
      <c r="I20" s="16">
        <f t="shared" si="0"/>
        <v>0.01865225236121487</v>
      </c>
      <c r="L20" s="48">
        <f t="shared" si="1"/>
        <v>0.06687394731466356</v>
      </c>
    </row>
    <row r="21" spans="1:12" ht="12.75">
      <c r="A21" s="13">
        <v>11.2</v>
      </c>
      <c r="C21" s="13" t="s">
        <v>51</v>
      </c>
      <c r="D21" s="12"/>
      <c r="E21" s="16">
        <f>'Leverage Factors'!U23</f>
        <v>0.4352089755593416</v>
      </c>
      <c r="F21" s="16"/>
      <c r="G21" s="16">
        <v>0.42512058682655723</v>
      </c>
      <c r="H21" s="16"/>
      <c r="I21" s="16">
        <f t="shared" si="0"/>
        <v>0.010088388732784392</v>
      </c>
      <c r="L21" s="48">
        <f t="shared" si="1"/>
        <v>0.023730652067669222</v>
      </c>
    </row>
    <row r="22" spans="1:12" ht="12.75">
      <c r="A22" s="13">
        <v>11</v>
      </c>
      <c r="C22" s="13" t="s">
        <v>116</v>
      </c>
      <c r="D22" s="12"/>
      <c r="E22" s="16">
        <f>'Leverage Factors'!U24</f>
        <v>0.391663080649403</v>
      </c>
      <c r="F22" s="16"/>
      <c r="G22" s="16">
        <v>0.37793006729923817</v>
      </c>
      <c r="H22" s="16"/>
      <c r="I22" s="16">
        <f>E22-G22</f>
        <v>0.013733013350164802</v>
      </c>
      <c r="L22" s="48">
        <f t="shared" si="1"/>
        <v>0.03633744583569021</v>
      </c>
    </row>
    <row r="23" spans="1:12" ht="12.75">
      <c r="A23" s="13">
        <v>12</v>
      </c>
      <c r="C23" s="13" t="s">
        <v>52</v>
      </c>
      <c r="D23" s="12"/>
      <c r="E23" s="16">
        <f>'Leverage Factors'!U25</f>
        <v>1</v>
      </c>
      <c r="F23" s="16"/>
      <c r="G23" s="16">
        <v>1</v>
      </c>
      <c r="H23" s="16"/>
      <c r="I23" s="16">
        <f t="shared" si="0"/>
        <v>0</v>
      </c>
      <c r="L23" s="48">
        <f t="shared" si="1"/>
        <v>0</v>
      </c>
    </row>
    <row r="24" spans="1:12" ht="12.75">
      <c r="A24" s="13">
        <v>13</v>
      </c>
      <c r="C24" s="13" t="s">
        <v>53</v>
      </c>
      <c r="D24" s="12"/>
      <c r="E24" s="16">
        <f>'Leverage Factors'!U26</f>
        <v>0.856575978963666</v>
      </c>
      <c r="F24" s="16"/>
      <c r="G24" s="16">
        <v>0.7860321498540842</v>
      </c>
      <c r="H24" s="16"/>
      <c r="I24" s="16">
        <f t="shared" si="0"/>
        <v>0.07054382910958179</v>
      </c>
      <c r="L24" s="48">
        <f t="shared" si="1"/>
        <v>0.08974674779228464</v>
      </c>
    </row>
    <row r="25" spans="1:12" ht="12.75">
      <c r="A25" s="13">
        <v>14</v>
      </c>
      <c r="C25" s="13" t="s">
        <v>54</v>
      </c>
      <c r="D25" s="12"/>
      <c r="E25" s="16">
        <f>'Leverage Factors'!U27</f>
        <v>0.6969902585901718</v>
      </c>
      <c r="F25" s="16"/>
      <c r="G25" s="16">
        <v>0.6139522714110686</v>
      </c>
      <c r="H25" s="16"/>
      <c r="I25" s="16">
        <f t="shared" si="0"/>
        <v>0.08303798717910327</v>
      </c>
      <c r="L25" s="48">
        <f t="shared" si="1"/>
        <v>0.1352515350879866</v>
      </c>
    </row>
    <row r="26" spans="1:12" ht="12.75">
      <c r="A26" s="13">
        <v>15</v>
      </c>
      <c r="C26" s="13" t="s">
        <v>55</v>
      </c>
      <c r="D26" s="12"/>
      <c r="E26" s="16">
        <f>'Leverage Factors'!U28</f>
        <v>0.8023258782282419</v>
      </c>
      <c r="F26" s="16"/>
      <c r="G26" s="16">
        <v>0.2687573493888296</v>
      </c>
      <c r="H26" s="16"/>
      <c r="I26" s="16">
        <f t="shared" si="0"/>
        <v>0.5335685288394123</v>
      </c>
      <c r="L26" s="48">
        <f t="shared" si="1"/>
        <v>1.9853169785041382</v>
      </c>
    </row>
    <row r="27" spans="1:12" ht="12.75">
      <c r="A27" s="13">
        <v>16</v>
      </c>
      <c r="C27" s="13" t="s">
        <v>56</v>
      </c>
      <c r="D27" s="12"/>
      <c r="E27" s="16">
        <f>'Leverage Factors'!U29</f>
        <v>0.3971871805652203</v>
      </c>
      <c r="F27" s="16"/>
      <c r="G27" s="16">
        <v>0.35994224334977093</v>
      </c>
      <c r="H27" s="16"/>
      <c r="I27" s="16">
        <f t="shared" si="0"/>
        <v>0.03724493721544936</v>
      </c>
      <c r="L27" s="48">
        <f t="shared" si="1"/>
        <v>0.10347475991934885</v>
      </c>
    </row>
    <row r="28" spans="1:12" ht="12.75">
      <c r="A28" s="13">
        <v>17.1</v>
      </c>
      <c r="C28" s="13" t="s">
        <v>57</v>
      </c>
      <c r="D28" s="12"/>
      <c r="E28" s="16">
        <f>'Leverage Factors'!U30</f>
        <v>0.48313960204383566</v>
      </c>
      <c r="F28" s="16"/>
      <c r="G28" s="16">
        <v>0.4488582733973217</v>
      </c>
      <c r="H28" s="16"/>
      <c r="I28" s="16">
        <f t="shared" si="0"/>
        <v>0.03428132864651395</v>
      </c>
      <c r="L28" s="48">
        <f t="shared" si="1"/>
        <v>0.0763745054469982</v>
      </c>
    </row>
    <row r="29" spans="1:12" ht="12.75">
      <c r="A29" s="13">
        <v>17.2</v>
      </c>
      <c r="C29" s="13" t="s">
        <v>58</v>
      </c>
      <c r="D29" s="12"/>
      <c r="E29" s="16">
        <f>'Leverage Factors'!U31</f>
        <v>0.5394204963117922</v>
      </c>
      <c r="F29" s="16"/>
      <c r="G29" s="16">
        <v>0.5248948871344276</v>
      </c>
      <c r="H29" s="16"/>
      <c r="I29" s="16">
        <f t="shared" si="0"/>
        <v>0.014525609177364673</v>
      </c>
      <c r="L29" s="48">
        <f t="shared" si="1"/>
        <v>0.027673367627306655</v>
      </c>
    </row>
    <row r="30" spans="1:12" ht="12.75">
      <c r="A30" s="13">
        <v>17.3</v>
      </c>
      <c r="C30" s="13" t="s">
        <v>126</v>
      </c>
      <c r="D30" s="12"/>
      <c r="E30" s="16">
        <f>'Leverage Factors'!U32</f>
        <v>0.1671139637078344</v>
      </c>
      <c r="F30" s="16"/>
      <c r="G30" s="16">
        <v>0.1631547575440225</v>
      </c>
      <c r="H30" s="16"/>
      <c r="I30" s="16">
        <f t="shared" si="0"/>
        <v>0.003959206163811901</v>
      </c>
      <c r="L30" s="48">
        <f t="shared" si="1"/>
        <v>0.02426656889084966</v>
      </c>
    </row>
    <row r="31" spans="1:12" ht="12.75">
      <c r="A31" s="13">
        <v>17</v>
      </c>
      <c r="C31" s="13" t="s">
        <v>117</v>
      </c>
      <c r="D31" s="12"/>
      <c r="E31" s="16">
        <f>'Leverage Factors'!U33</f>
        <v>0.4908685885174434</v>
      </c>
      <c r="F31" s="16"/>
      <c r="G31" s="16">
        <v>0.46281471895830895</v>
      </c>
      <c r="H31" s="16"/>
      <c r="I31" s="16">
        <f>E31-G31</f>
        <v>0.02805386955913447</v>
      </c>
      <c r="L31" s="48">
        <f t="shared" si="1"/>
        <v>0.06061576784393852</v>
      </c>
    </row>
    <row r="32" spans="1:12" ht="12.75">
      <c r="A32" s="13">
        <v>18.1</v>
      </c>
      <c r="C32" s="13" t="s">
        <v>59</v>
      </c>
      <c r="D32" s="12"/>
      <c r="E32" s="16">
        <f>'Leverage Factors'!U34</f>
        <v>0.3318034874204418</v>
      </c>
      <c r="F32" s="16"/>
      <c r="G32" s="16">
        <v>0.28303723223900357</v>
      </c>
      <c r="H32" s="16"/>
      <c r="I32" s="16">
        <f t="shared" si="0"/>
        <v>0.048766255181438234</v>
      </c>
      <c r="L32" s="48">
        <f t="shared" si="1"/>
        <v>0.17229625514518454</v>
      </c>
    </row>
    <row r="33" spans="1:12" ht="12.75">
      <c r="A33" s="13">
        <v>18.2</v>
      </c>
      <c r="C33" s="13" t="s">
        <v>60</v>
      </c>
      <c r="D33" s="12"/>
      <c r="E33" s="16">
        <f>'Leverage Factors'!U35</f>
        <v>0.5092906897442463</v>
      </c>
      <c r="F33" s="16"/>
      <c r="G33" s="16">
        <v>0.4726390576681794</v>
      </c>
      <c r="H33" s="16"/>
      <c r="I33" s="16">
        <f t="shared" si="0"/>
        <v>0.03665163207606692</v>
      </c>
      <c r="L33" s="48">
        <f t="shared" si="1"/>
        <v>0.07754676953041528</v>
      </c>
    </row>
    <row r="34" spans="1:12" ht="12.75">
      <c r="A34" s="13">
        <v>18</v>
      </c>
      <c r="C34" s="13" t="s">
        <v>118</v>
      </c>
      <c r="D34" s="12"/>
      <c r="E34" s="16">
        <f>'Leverage Factors'!U36</f>
        <v>0.3517434764417952</v>
      </c>
      <c r="F34" s="16"/>
      <c r="G34" s="16">
        <v>0.30408454550823855</v>
      </c>
      <c r="H34" s="16"/>
      <c r="I34" s="16">
        <f>E34-G34</f>
        <v>0.047658930933556665</v>
      </c>
      <c r="L34" s="48">
        <f t="shared" si="1"/>
        <v>0.15672921112745408</v>
      </c>
    </row>
    <row r="35" spans="1:12" ht="12.75">
      <c r="A35" s="13">
        <v>19.2</v>
      </c>
      <c r="C35" s="13" t="s">
        <v>61</v>
      </c>
      <c r="D35" s="12"/>
      <c r="E35" s="16">
        <f>'Leverage Factors'!U37</f>
        <v>0.7705365608246291</v>
      </c>
      <c r="F35" s="16"/>
      <c r="G35" s="16">
        <v>0.7746748896822202</v>
      </c>
      <c r="H35" s="16"/>
      <c r="I35" s="16">
        <f t="shared" si="0"/>
        <v>-0.004138328857591134</v>
      </c>
      <c r="L35" s="48">
        <f t="shared" si="1"/>
        <v>-0.005342020133489389</v>
      </c>
    </row>
    <row r="36" spans="1:12" ht="12.75">
      <c r="A36" s="13">
        <v>19.4</v>
      </c>
      <c r="C36" s="13" t="s">
        <v>62</v>
      </c>
      <c r="D36" s="12"/>
      <c r="E36" s="16">
        <f>'Leverage Factors'!U38</f>
        <v>0.6158634735958407</v>
      </c>
      <c r="F36" s="16"/>
      <c r="G36" s="16">
        <v>0.5990161582290662</v>
      </c>
      <c r="H36" s="16"/>
      <c r="I36" s="16">
        <f t="shared" si="0"/>
        <v>0.01684731536677453</v>
      </c>
      <c r="L36" s="48">
        <f t="shared" si="1"/>
        <v>0.028124976489084963</v>
      </c>
    </row>
    <row r="37" spans="1:12" ht="12.75">
      <c r="A37" s="13">
        <v>21.1</v>
      </c>
      <c r="C37" s="13" t="s">
        <v>97</v>
      </c>
      <c r="D37" s="12"/>
      <c r="E37" s="16">
        <f>'Leverage Factors'!U39</f>
        <v>1.2809463895696056</v>
      </c>
      <c r="F37" s="16"/>
      <c r="G37" s="16">
        <v>1.2507122087328104</v>
      </c>
      <c r="H37" s="16"/>
      <c r="I37" s="16">
        <f t="shared" si="0"/>
        <v>0.030234180836795188</v>
      </c>
      <c r="L37" s="48">
        <f t="shared" si="1"/>
        <v>0.024173571366531865</v>
      </c>
    </row>
    <row r="38" spans="1:12" ht="12.75">
      <c r="A38" s="13">
        <v>21.2</v>
      </c>
      <c r="C38" s="13" t="s">
        <v>98</v>
      </c>
      <c r="D38" s="12"/>
      <c r="E38" s="16">
        <f>'Leverage Factors'!U40</f>
        <v>1.0902716133294696</v>
      </c>
      <c r="F38" s="16"/>
      <c r="G38" s="16">
        <v>1.0493049283677423</v>
      </c>
      <c r="H38" s="16"/>
      <c r="I38" s="16">
        <f t="shared" si="0"/>
        <v>0.040966684961727395</v>
      </c>
      <c r="L38" s="48">
        <f t="shared" si="1"/>
        <v>0.03904173501353281</v>
      </c>
    </row>
    <row r="39" spans="1:12" ht="12.75">
      <c r="A39" s="13">
        <v>21</v>
      </c>
      <c r="C39" s="13" t="s">
        <v>63</v>
      </c>
      <c r="D39" s="12"/>
      <c r="E39" s="16">
        <f>'Leverage Factors'!U41</f>
        <v>1.2597060315036683</v>
      </c>
      <c r="F39" s="16"/>
      <c r="G39" s="16">
        <v>1.227342949425063</v>
      </c>
      <c r="H39" s="16"/>
      <c r="I39" s="16">
        <f t="shared" si="0"/>
        <v>0.03236308207860539</v>
      </c>
      <c r="L39" s="48">
        <f t="shared" si="1"/>
        <v>0.026368409981713414</v>
      </c>
    </row>
    <row r="40" spans="1:12" ht="12.75">
      <c r="A40" s="13">
        <v>22</v>
      </c>
      <c r="C40" s="13" t="s">
        <v>64</v>
      </c>
      <c r="D40" s="12"/>
      <c r="E40" s="16">
        <f>'Leverage Factors'!U42</f>
        <v>0.6553803738159576</v>
      </c>
      <c r="F40" s="16"/>
      <c r="G40" s="16">
        <v>0.6400970630221801</v>
      </c>
      <c r="H40" s="16"/>
      <c r="I40" s="16">
        <f t="shared" si="0"/>
        <v>0.015283310793777538</v>
      </c>
      <c r="L40" s="48">
        <f t="shared" si="1"/>
        <v>0.02387655197419325</v>
      </c>
    </row>
    <row r="41" spans="1:12" ht="12.75">
      <c r="A41" s="13">
        <v>23</v>
      </c>
      <c r="C41" s="13" t="s">
        <v>65</v>
      </c>
      <c r="D41" s="12"/>
      <c r="E41" s="16">
        <f>'Leverage Factors'!U43</f>
        <v>0.6889651718477441</v>
      </c>
      <c r="F41" s="16"/>
      <c r="G41" s="16">
        <v>0.6658239484495095</v>
      </c>
      <c r="H41" s="16"/>
      <c r="I41" s="16">
        <f t="shared" si="0"/>
        <v>0.023141223398234545</v>
      </c>
      <c r="L41" s="48">
        <f t="shared" si="1"/>
        <v>0.034755769076980636</v>
      </c>
    </row>
    <row r="42" spans="1:12" ht="12.75">
      <c r="A42" s="13">
        <v>24</v>
      </c>
      <c r="C42" s="13" t="s">
        <v>66</v>
      </c>
      <c r="D42" s="12"/>
      <c r="E42" s="16">
        <f>'Leverage Factors'!U44</f>
        <v>0.8043055700113312</v>
      </c>
      <c r="F42" s="16"/>
      <c r="G42" s="16">
        <v>0.7674562312821215</v>
      </c>
      <c r="H42" s="16"/>
      <c r="I42" s="16">
        <f t="shared" si="0"/>
        <v>0.0368493387292097</v>
      </c>
      <c r="L42" s="48">
        <f t="shared" si="1"/>
        <v>0.04801490590238444</v>
      </c>
    </row>
    <row r="43" spans="1:12" ht="12.75">
      <c r="A43" s="13">
        <v>26</v>
      </c>
      <c r="C43" s="13" t="s">
        <v>67</v>
      </c>
      <c r="D43" s="12"/>
      <c r="E43" s="16">
        <f>'Leverage Factors'!U45</f>
        <v>0.8158993416529454</v>
      </c>
      <c r="F43" s="16"/>
      <c r="G43" s="16">
        <v>0.7547610505339541</v>
      </c>
      <c r="H43" s="16"/>
      <c r="I43" s="16">
        <f t="shared" si="0"/>
        <v>0.06113829111899127</v>
      </c>
      <c r="L43" s="48">
        <f t="shared" si="1"/>
        <v>0.08100350577939741</v>
      </c>
    </row>
    <row r="44" spans="1:12" ht="12.75">
      <c r="A44" s="13">
        <v>27</v>
      </c>
      <c r="C44" s="13" t="s">
        <v>75</v>
      </c>
      <c r="D44" s="12"/>
      <c r="E44" s="16">
        <f>'Leverage Factors'!U46</f>
        <v>0.9467857535312066</v>
      </c>
      <c r="F44" s="16"/>
      <c r="G44" s="16">
        <v>0.9353859894093675</v>
      </c>
      <c r="H44" s="16"/>
      <c r="I44" s="16">
        <f t="shared" si="0"/>
        <v>0.011399764121839184</v>
      </c>
      <c r="L44" s="48">
        <f t="shared" si="1"/>
        <v>0.012187229925303189</v>
      </c>
    </row>
    <row r="45" spans="1:12" ht="12.75">
      <c r="A45" s="13">
        <v>28</v>
      </c>
      <c r="C45" s="13" t="s">
        <v>73</v>
      </c>
      <c r="D45" s="12"/>
      <c r="E45" s="16">
        <f>'Leverage Factors'!U47</f>
        <v>0.8563141735446271</v>
      </c>
      <c r="F45" s="16"/>
      <c r="G45" s="16">
        <v>0.750636463499681</v>
      </c>
      <c r="H45" s="16"/>
      <c r="I45" s="16">
        <f t="shared" si="0"/>
        <v>0.10567771004494608</v>
      </c>
      <c r="L45" s="48">
        <f t="shared" si="1"/>
        <v>0.14078414143678342</v>
      </c>
    </row>
    <row r="46" spans="1:12" ht="12.75">
      <c r="A46" s="13">
        <v>29</v>
      </c>
      <c r="C46" s="13" t="s">
        <v>68</v>
      </c>
      <c r="D46" s="12"/>
      <c r="E46" s="16">
        <f>'Leverage Factors'!U48</f>
        <v>0.08154777813896358</v>
      </c>
      <c r="F46" s="16"/>
      <c r="G46" s="16">
        <v>1.4386790480036753</v>
      </c>
      <c r="H46" s="16"/>
      <c r="I46" s="16">
        <f t="shared" si="0"/>
        <v>-1.3571312698647118</v>
      </c>
      <c r="L46" s="48">
        <f t="shared" si="1"/>
        <v>-0.9433176021767189</v>
      </c>
    </row>
    <row r="47" spans="1:12" ht="12.75">
      <c r="A47" s="13">
        <v>30</v>
      </c>
      <c r="C47" s="13" t="s">
        <v>125</v>
      </c>
      <c r="D47" s="12"/>
      <c r="E47" s="16">
        <f>'Leverage Factors'!U49</f>
        <v>0.4853114355187488</v>
      </c>
      <c r="F47" s="16"/>
      <c r="G47" s="16">
        <v>0.4910832994448503</v>
      </c>
      <c r="H47" s="16"/>
      <c r="I47" s="16">
        <f>E47-G47</f>
        <v>-0.005771863926101517</v>
      </c>
      <c r="L47" s="48">
        <f t="shared" si="1"/>
        <v>-0.011753329695036174</v>
      </c>
    </row>
    <row r="48" spans="1:12" ht="12.75">
      <c r="A48" s="13">
        <v>31</v>
      </c>
      <c r="C48" s="13" t="s">
        <v>69</v>
      </c>
      <c r="D48" s="12"/>
      <c r="E48" s="16">
        <f>'Leverage Factors'!U50</f>
        <v>0.6645844749224832</v>
      </c>
      <c r="F48" s="16"/>
      <c r="G48" s="16">
        <v>0.6547262609349226</v>
      </c>
      <c r="H48" s="16"/>
      <c r="I48" s="16">
        <f t="shared" si="0"/>
        <v>0.009858213987560593</v>
      </c>
      <c r="L48" s="48">
        <f t="shared" si="1"/>
        <v>0.015057001033505824</v>
      </c>
    </row>
    <row r="49" spans="1:12" ht="12.75">
      <c r="A49" s="13">
        <v>32</v>
      </c>
      <c r="C49" s="13" t="s">
        <v>70</v>
      </c>
      <c r="D49" s="12"/>
      <c r="E49" s="16">
        <f>'Leverage Factors'!U51</f>
        <v>0.343516204018535</v>
      </c>
      <c r="F49" s="16"/>
      <c r="G49" s="16">
        <v>0.31268116741576174</v>
      </c>
      <c r="H49" s="16"/>
      <c r="I49" s="16">
        <f t="shared" si="0"/>
        <v>0.030835036602773258</v>
      </c>
      <c r="L49" s="48">
        <f t="shared" si="1"/>
        <v>0.09861494652082103</v>
      </c>
    </row>
    <row r="50" spans="1:12" ht="12.75">
      <c r="A50" s="13">
        <v>33</v>
      </c>
      <c r="C50" s="13" t="s">
        <v>71</v>
      </c>
      <c r="D50" s="12"/>
      <c r="E50" s="16">
        <f>'Leverage Factors'!U52</f>
        <v>0.5740112541494558</v>
      </c>
      <c r="F50" s="16"/>
      <c r="G50" s="16">
        <v>0.5799682582966936</v>
      </c>
      <c r="H50" s="16"/>
      <c r="I50" s="16">
        <f t="shared" si="0"/>
        <v>-0.0059570041472378765</v>
      </c>
      <c r="L50" s="48">
        <f t="shared" si="1"/>
        <v>-0.010271258921536464</v>
      </c>
    </row>
    <row r="51" spans="1:12" ht="12.75">
      <c r="A51" s="13">
        <v>34</v>
      </c>
      <c r="C51" s="13" t="s">
        <v>72</v>
      </c>
      <c r="D51" s="12"/>
      <c r="E51" s="16">
        <f>'Leverage Factors'!U53</f>
        <v>0.9171846301036478</v>
      </c>
      <c r="F51" s="16"/>
      <c r="G51" s="16">
        <v>0.9219375926763108</v>
      </c>
      <c r="H51" s="16"/>
      <c r="I51" s="16">
        <f t="shared" si="0"/>
        <v>-0.004752962572663</v>
      </c>
      <c r="L51" s="48">
        <f t="shared" si="1"/>
        <v>-0.0051554059737010105</v>
      </c>
    </row>
    <row r="52" spans="1:12" ht="12.75">
      <c r="A52" s="14"/>
      <c r="B52" s="14"/>
      <c r="C52" s="14"/>
      <c r="D52" s="17"/>
      <c r="E52" s="18"/>
      <c r="F52" s="18"/>
      <c r="G52" s="18"/>
      <c r="H52" s="18"/>
      <c r="I52" s="18"/>
      <c r="L52" s="18"/>
    </row>
    <row r="53" spans="1:12" ht="12.75">
      <c r="A53" s="13"/>
      <c r="C53" s="13"/>
      <c r="D53" s="12"/>
      <c r="E53" s="16"/>
      <c r="F53" s="16"/>
      <c r="G53" s="16"/>
      <c r="H53" s="16"/>
      <c r="I53" s="16"/>
      <c r="L53" s="16"/>
    </row>
    <row r="54" spans="1:12" ht="12.75">
      <c r="A54" s="13"/>
      <c r="C54" s="13" t="s">
        <v>17</v>
      </c>
      <c r="D54" s="12"/>
      <c r="E54" s="16">
        <f>'Leverage Factors'!U54</f>
        <v>0.7096180699703307</v>
      </c>
      <c r="F54" s="16"/>
      <c r="G54" s="16">
        <v>0.6860769768629774</v>
      </c>
      <c r="H54" s="16"/>
      <c r="I54" s="16">
        <f t="shared" si="0"/>
        <v>0.023541093107353306</v>
      </c>
      <c r="L54" s="48">
        <f t="shared" si="1"/>
        <v>0.03431261199726121</v>
      </c>
    </row>
  </sheetData>
  <sheetProtection/>
  <mergeCells count="2">
    <mergeCell ref="A1:I1"/>
    <mergeCell ref="A2:I2"/>
  </mergeCells>
  <printOptions/>
  <pageMargins left="0.75" right="0.75" top="0.5" bottom="0.25" header="0.5" footer="0.5"/>
  <pageSetup horizontalDpi="600" verticalDpi="600" orientation="portrait" r:id="rId1"/>
  <headerFooter alignWithMargins="0">
    <oddFooter>&amp;L&amp;"Verdana,Regular"California Dept. of Insurance&amp;C&amp;"Verdana,Regular"August 25, 2023&amp;R&amp;"Verdana,Regular"Rate Specialist Bureau</oddFooter>
  </headerFooter>
  <ignoredErrors>
    <ignoredError sqref="E47 I4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Choy, Carol</cp:lastModifiedBy>
  <cp:lastPrinted>2023-11-03T18:01:16Z</cp:lastPrinted>
  <dcterms:created xsi:type="dcterms:W3CDTF">1998-09-25T21:39:53Z</dcterms:created>
  <dcterms:modified xsi:type="dcterms:W3CDTF">2023-11-08T14:21:46Z</dcterms:modified>
  <cp:category/>
  <cp:version/>
  <cp:contentType/>
  <cp:contentStatus/>
</cp:coreProperties>
</file>